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hgkhr-my.sharepoint.com/personal/ksikavica_hgk_hr/Documents/SMJERNICE za USLUGE/za web/"/>
    </mc:Choice>
  </mc:AlternateContent>
  <xr:revisionPtr revIDLastSave="0" documentId="8_{79ABE05B-71FA-49FF-93DF-E3196C795E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ULAZNIH PODATAKA" sheetId="42" r:id="rId1"/>
    <sheet name="Podanaliza-auto-11-20" sheetId="13" r:id="rId2"/>
    <sheet name="ANALIZA-STRUČNJAK 1" sheetId="35" r:id="rId3"/>
    <sheet name="ANALIZA-STRUČNJAK 2" sheetId="43" r:id="rId4"/>
    <sheet name="ANALIZA-STRUČNJAK 3" sheetId="50" r:id="rId5"/>
    <sheet name="ANALIZA-STRUČNJAK 4" sheetId="51" r:id="rId6"/>
    <sheet name="ANALIZA-STRUČNJAK 5" sheetId="52" r:id="rId7"/>
    <sheet name="ANALIZA-STRUČNJAK 6" sheetId="53" r:id="rId8"/>
    <sheet name="ANALIZA-STRUČNJAK 7" sheetId="54" state="hidden" r:id="rId9"/>
    <sheet name="ANALIZA-STRUČNJAK 8" sheetId="55" state="hidden" r:id="rId10"/>
    <sheet name="ANALIZA-STRUČNJAK  7" sheetId="59" r:id="rId11"/>
    <sheet name="ANALIZA-STRUČNJAK  8" sheetId="60" r:id="rId12"/>
    <sheet name="PRILOG 1-Analiza usluga-03-2020" sheetId="14" r:id="rId13"/>
    <sheet name="Pregled promjena cijena" sheetId="41" r:id="rId14"/>
    <sheet name="Statistički niz" sheetId="56" r:id="rId15"/>
    <sheet name="Rizik" sheetId="37" r:id="rId16"/>
    <sheet name="Izračun koefic.-klizna skala" sheetId="19" r:id="rId17"/>
    <sheet name="Izračun-RUC " sheetId="27" r:id="rId18"/>
    <sheet name="Podanaliza-administrator 3-20" sheetId="36" state="hidden" r:id="rId19"/>
  </sheets>
  <externalReferences>
    <externalReference r:id="rId20"/>
    <externalReference r:id="rId21"/>
    <externalReference r:id="rId22"/>
  </externalReferences>
  <definedNames>
    <definedName name="_1Excel_BuiltIn_Print_Area_1" localSheetId="13">#REF!</definedName>
    <definedName name="_1Excel_BuiltIn_Print_Area_1" localSheetId="14">#REF!</definedName>
    <definedName name="_1Excel_BuiltIn_Print_Area_1" localSheetId="0">#REF!</definedName>
    <definedName name="_1Excel_BuiltIn_Print_Area_1">#REF!</definedName>
    <definedName name="Excel_BuiltIn_Print_Area_1">#REF!</definedName>
    <definedName name="Excel_BuiltIn_Print_Area_1_1" localSheetId="13">#REF!</definedName>
    <definedName name="Excel_BuiltIn_Print_Area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2">#REF!</definedName>
    <definedName name="Excel_BuiltIn_Print_Titles_3">#REF!</definedName>
    <definedName name="Excel_BuiltIn_Print_Titles_4">#REF!</definedName>
    <definedName name="Excel_BuiltIn_Print_Titles_5">#REF!</definedName>
    <definedName name="_xlnm.Print_Area" localSheetId="10">'ANALIZA-STRUČNJAK  7'!$B$1:$K$51</definedName>
    <definedName name="_xlnm.Print_Area" localSheetId="11">'ANALIZA-STRUČNJAK  8'!$B$1:$K$51</definedName>
    <definedName name="_xlnm.Print_Area" localSheetId="2">'ANALIZA-STRUČNJAK 1'!$B$1:$K$51</definedName>
    <definedName name="_xlnm.Print_Area" localSheetId="3">'ANALIZA-STRUČNJAK 2'!$B$1:$K$51</definedName>
    <definedName name="_xlnm.Print_Area" localSheetId="4">'ANALIZA-STRUČNJAK 3'!$B$1:$K$51</definedName>
    <definedName name="_xlnm.Print_Area" localSheetId="5">'ANALIZA-STRUČNJAK 4'!$B$1:$K$51</definedName>
    <definedName name="_xlnm.Print_Area" localSheetId="6">'ANALIZA-STRUČNJAK 5'!$B$1:$K$51</definedName>
    <definedName name="_xlnm.Print_Area" localSheetId="7">'ANALIZA-STRUČNJAK 6'!$B$1:$K$51</definedName>
    <definedName name="_xlnm.Print_Area" localSheetId="8">'ANALIZA-STRUČNJAK 7'!$B$1:$K$51</definedName>
    <definedName name="_xlnm.Print_Area" localSheetId="9">'ANALIZA-STRUČNJAK 8'!$B$1:$K$51</definedName>
    <definedName name="_xlnm.Print_Area" localSheetId="18">'Podanaliza-administrator 3-20'!$A$1:$K$49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4" l="1"/>
  <c r="D2" i="27"/>
  <c r="C2" i="19"/>
  <c r="G9" i="19"/>
  <c r="N47" i="14"/>
  <c r="M47" i="14"/>
  <c r="L47" i="14"/>
  <c r="K47" i="14"/>
  <c r="H35" i="14"/>
  <c r="H37" i="14"/>
  <c r="H39" i="14"/>
  <c r="H41" i="14"/>
  <c r="F41" i="14"/>
  <c r="F39" i="14"/>
  <c r="F37" i="14"/>
  <c r="E41" i="14"/>
  <c r="E39" i="14"/>
  <c r="E37" i="14"/>
  <c r="E35" i="14"/>
  <c r="G35" i="14" s="1"/>
  <c r="F35" i="14"/>
  <c r="G33" i="14"/>
  <c r="F33" i="14"/>
  <c r="E33" i="14"/>
  <c r="D31" i="59"/>
  <c r="D31" i="60"/>
  <c r="F22" i="60"/>
  <c r="D18" i="60"/>
  <c r="E15" i="60"/>
  <c r="G12" i="60"/>
  <c r="G13" i="60" s="1"/>
  <c r="C48" i="60"/>
  <c r="G43" i="60"/>
  <c r="H43" i="60" s="1"/>
  <c r="J43" i="60" s="1"/>
  <c r="J45" i="60" s="1"/>
  <c r="F43" i="60"/>
  <c r="H42" i="60"/>
  <c r="I42" i="60" s="1"/>
  <c r="I45" i="60" s="1"/>
  <c r="G42" i="60"/>
  <c r="F42" i="60"/>
  <c r="E42" i="60"/>
  <c r="G41" i="60"/>
  <c r="H41" i="60" s="1"/>
  <c r="K41" i="60" s="1"/>
  <c r="F41" i="60"/>
  <c r="D41" i="60"/>
  <c r="G40" i="60"/>
  <c r="H40" i="60" s="1"/>
  <c r="K40" i="60" s="1"/>
  <c r="F40" i="60"/>
  <c r="D40" i="60"/>
  <c r="G39" i="60"/>
  <c r="H39" i="60" s="1"/>
  <c r="K39" i="60" s="1"/>
  <c r="F39" i="60"/>
  <c r="D39" i="60"/>
  <c r="H38" i="60"/>
  <c r="K38" i="60" s="1"/>
  <c r="G38" i="60"/>
  <c r="F38" i="60"/>
  <c r="D38" i="60"/>
  <c r="G37" i="60"/>
  <c r="H37" i="60" s="1"/>
  <c r="K37" i="60" s="1"/>
  <c r="F37" i="60"/>
  <c r="D37" i="60"/>
  <c r="G36" i="60"/>
  <c r="H36" i="60" s="1"/>
  <c r="K36" i="60" s="1"/>
  <c r="F36" i="60"/>
  <c r="D36" i="60"/>
  <c r="D26" i="60"/>
  <c r="D25" i="60"/>
  <c r="D24" i="60"/>
  <c r="D22" i="60"/>
  <c r="D20" i="60"/>
  <c r="E19" i="60"/>
  <c r="E20" i="60" s="1"/>
  <c r="F20" i="60" s="1"/>
  <c r="H20" i="60" s="1"/>
  <c r="I20" i="60" s="1"/>
  <c r="D19" i="60"/>
  <c r="E17" i="60"/>
  <c r="F17" i="60" s="1"/>
  <c r="H17" i="60" s="1"/>
  <c r="I17" i="60" s="1"/>
  <c r="D17" i="60"/>
  <c r="E13" i="60"/>
  <c r="E12" i="60"/>
  <c r="F12" i="60" s="1"/>
  <c r="F13" i="60" s="1"/>
  <c r="D12" i="60"/>
  <c r="C5" i="60"/>
  <c r="F22" i="59"/>
  <c r="F22" i="53"/>
  <c r="F22" i="52"/>
  <c r="F22" i="51"/>
  <c r="F22" i="50"/>
  <c r="F22" i="43"/>
  <c r="D18" i="59"/>
  <c r="E15" i="59"/>
  <c r="G12" i="59"/>
  <c r="G13" i="59" s="1"/>
  <c r="C48" i="59"/>
  <c r="G43" i="59"/>
  <c r="H43" i="59" s="1"/>
  <c r="J43" i="59" s="1"/>
  <c r="J45" i="59" s="1"/>
  <c r="F43" i="59"/>
  <c r="G42" i="59"/>
  <c r="H42" i="59" s="1"/>
  <c r="I42" i="59" s="1"/>
  <c r="I45" i="59" s="1"/>
  <c r="F42" i="59"/>
  <c r="E42" i="59"/>
  <c r="G41" i="59"/>
  <c r="H41" i="59" s="1"/>
  <c r="K41" i="59" s="1"/>
  <c r="F41" i="59"/>
  <c r="D41" i="59"/>
  <c r="G40" i="59"/>
  <c r="H40" i="59" s="1"/>
  <c r="K40" i="59" s="1"/>
  <c r="F40" i="59"/>
  <c r="D40" i="59"/>
  <c r="G39" i="59"/>
  <c r="H39" i="59" s="1"/>
  <c r="K39" i="59" s="1"/>
  <c r="F39" i="59"/>
  <c r="D39" i="59"/>
  <c r="G38" i="59"/>
  <c r="H38" i="59" s="1"/>
  <c r="K38" i="59" s="1"/>
  <c r="F38" i="59"/>
  <c r="D38" i="59"/>
  <c r="G37" i="59"/>
  <c r="H37" i="59" s="1"/>
  <c r="K37" i="59" s="1"/>
  <c r="F37" i="59"/>
  <c r="D37" i="59"/>
  <c r="G36" i="59"/>
  <c r="H36" i="59" s="1"/>
  <c r="K36" i="59" s="1"/>
  <c r="F36" i="59"/>
  <c r="D36" i="59"/>
  <c r="D26" i="59"/>
  <c r="D25" i="59"/>
  <c r="D24" i="59"/>
  <c r="D22" i="59"/>
  <c r="H22" i="59" s="1"/>
  <c r="I22" i="59" s="1"/>
  <c r="D20" i="59"/>
  <c r="D19" i="59"/>
  <c r="E17" i="59"/>
  <c r="E18" i="59" s="1"/>
  <c r="F18" i="59" s="1"/>
  <c r="H18" i="59" s="1"/>
  <c r="I18" i="59" s="1"/>
  <c r="D17" i="59"/>
  <c r="E13" i="59"/>
  <c r="E12" i="59"/>
  <c r="F12" i="59" s="1"/>
  <c r="F13" i="59" s="1"/>
  <c r="H13" i="59" s="1"/>
  <c r="I13" i="59" s="1"/>
  <c r="D12" i="59"/>
  <c r="C5" i="59"/>
  <c r="H22" i="60" l="1"/>
  <c r="I22" i="60" s="1"/>
  <c r="F17" i="59"/>
  <c r="H17" i="59" s="1"/>
  <c r="I17" i="59" s="1"/>
  <c r="E19" i="59"/>
  <c r="E20" i="59" s="1"/>
  <c r="F20" i="59" s="1"/>
  <c r="H20" i="59" s="1"/>
  <c r="I20" i="59" s="1"/>
  <c r="E18" i="60"/>
  <c r="F18" i="60" s="1"/>
  <c r="H18" i="60" s="1"/>
  <c r="I18" i="60" s="1"/>
  <c r="G37" i="14"/>
  <c r="I37" i="14" s="1"/>
  <c r="I35" i="14"/>
  <c r="H13" i="60"/>
  <c r="I13" i="60" s="1"/>
  <c r="K45" i="60"/>
  <c r="J47" i="60" s="1"/>
  <c r="H12" i="60"/>
  <c r="D42" i="60"/>
  <c r="F19" i="60"/>
  <c r="H19" i="60" s="1"/>
  <c r="I19" i="60" s="1"/>
  <c r="K45" i="59"/>
  <c r="J47" i="59" s="1"/>
  <c r="F19" i="59"/>
  <c r="H19" i="59" s="1"/>
  <c r="I19" i="59" s="1"/>
  <c r="H12" i="59"/>
  <c r="D42" i="59"/>
  <c r="N35" i="14" l="1"/>
  <c r="L35" i="14"/>
  <c r="K35" i="14"/>
  <c r="J35" i="14"/>
  <c r="K37" i="14"/>
  <c r="J37" i="14"/>
  <c r="N37" i="14"/>
  <c r="L37" i="14"/>
  <c r="F15" i="60"/>
  <c r="H15" i="60" s="1"/>
  <c r="I15" i="60" s="1"/>
  <c r="I12" i="60"/>
  <c r="F15" i="59"/>
  <c r="H15" i="59" s="1"/>
  <c r="I15" i="59" s="1"/>
  <c r="I12" i="59"/>
  <c r="I32" i="59" s="1"/>
  <c r="M35" i="14" l="1"/>
  <c r="O35" i="14"/>
  <c r="I32" i="60"/>
  <c r="D41" i="53" l="1"/>
  <c r="D41" i="52"/>
  <c r="D41" i="51"/>
  <c r="D41" i="50"/>
  <c r="D41" i="43"/>
  <c r="D41" i="35"/>
  <c r="G22" i="13" l="1"/>
  <c r="E14" i="13"/>
  <c r="E12" i="13"/>
  <c r="F7" i="13"/>
  <c r="D46" i="27"/>
  <c r="C46" i="27"/>
  <c r="D45" i="27"/>
  <c r="C45" i="27"/>
  <c r="D44" i="27"/>
  <c r="C44" i="27"/>
  <c r="D43" i="27"/>
  <c r="C43" i="27"/>
  <c r="D42" i="27"/>
  <c r="C42" i="27"/>
  <c r="D41" i="27"/>
  <c r="C41" i="27"/>
  <c r="D40" i="27"/>
  <c r="C40" i="27"/>
  <c r="D39" i="27"/>
  <c r="C39" i="27"/>
  <c r="D38" i="27"/>
  <c r="C38" i="27"/>
  <c r="D37" i="27"/>
  <c r="C37" i="27"/>
  <c r="D36" i="27"/>
  <c r="C36" i="27"/>
  <c r="D35" i="27"/>
  <c r="C35" i="27"/>
  <c r="D34" i="27"/>
  <c r="C34" i="27"/>
  <c r="D33" i="27"/>
  <c r="C33" i="27"/>
  <c r="D32" i="27"/>
  <c r="C32" i="27"/>
  <c r="D31" i="27"/>
  <c r="C31" i="27"/>
  <c r="D30" i="27"/>
  <c r="C30" i="27"/>
  <c r="D29" i="27"/>
  <c r="C29" i="27"/>
  <c r="D28" i="27"/>
  <c r="C28" i="27"/>
  <c r="D27" i="27"/>
  <c r="C27" i="27"/>
  <c r="D26" i="27"/>
  <c r="C26" i="27"/>
  <c r="D25" i="27"/>
  <c r="C25" i="27"/>
  <c r="D24" i="27"/>
  <c r="C24" i="27"/>
  <c r="D23" i="27"/>
  <c r="C23" i="27"/>
  <c r="D22" i="27"/>
  <c r="C22" i="27"/>
  <c r="D21" i="27"/>
  <c r="C21" i="27"/>
  <c r="D20" i="27"/>
  <c r="C20" i="27"/>
  <c r="D19" i="27"/>
  <c r="C19" i="27"/>
  <c r="D18" i="27"/>
  <c r="C18" i="27"/>
  <c r="D17" i="27"/>
  <c r="C17" i="27"/>
  <c r="D16" i="27"/>
  <c r="C16" i="27"/>
  <c r="D15" i="27"/>
  <c r="C15" i="27"/>
  <c r="D14" i="27"/>
  <c r="C14" i="27"/>
  <c r="D13" i="27"/>
  <c r="C13" i="27"/>
  <c r="D12" i="27"/>
  <c r="C12" i="27"/>
  <c r="D11" i="27"/>
  <c r="C11" i="27"/>
  <c r="D10" i="27"/>
  <c r="C10" i="27"/>
  <c r="D9" i="27"/>
  <c r="C9" i="27"/>
  <c r="C5" i="53"/>
  <c r="C5" i="52"/>
  <c r="C5" i="51"/>
  <c r="C5" i="50"/>
  <c r="C5" i="43"/>
  <c r="C5" i="35"/>
  <c r="Q45" i="27" l="1"/>
  <c r="Q44" i="27"/>
  <c r="Q43" i="27"/>
  <c r="Q41" i="27"/>
  <c r="Q40" i="27"/>
  <c r="Q39" i="27"/>
  <c r="Q38" i="27"/>
  <c r="Q37" i="27"/>
  <c r="Q36" i="27"/>
  <c r="Q35" i="27"/>
  <c r="Q34" i="27"/>
  <c r="Q33" i="27"/>
  <c r="Q32" i="27"/>
  <c r="Q31" i="27"/>
  <c r="Q30" i="27"/>
  <c r="Q29" i="27"/>
  <c r="Q28" i="27"/>
  <c r="Q27" i="27"/>
  <c r="Q26" i="27"/>
  <c r="Q25" i="27"/>
  <c r="Q24" i="27"/>
  <c r="Q23" i="27"/>
  <c r="C14" i="14" l="1"/>
  <c r="C13" i="14"/>
  <c r="C12" i="14"/>
  <c r="C11" i="14"/>
  <c r="C10" i="14"/>
  <c r="C9" i="14"/>
  <c r="C8" i="14"/>
  <c r="E27" i="13"/>
  <c r="G27" i="13" s="1"/>
  <c r="E26" i="13"/>
  <c r="G26" i="13" s="1"/>
  <c r="G13" i="41" l="1"/>
  <c r="C14" i="41"/>
  <c r="G12" i="35"/>
  <c r="F31" i="14"/>
  <c r="E31" i="14"/>
  <c r="C21" i="41"/>
  <c r="C19" i="41"/>
  <c r="C17" i="41"/>
  <c r="C15" i="41"/>
  <c r="B21" i="41"/>
  <c r="B20" i="41"/>
  <c r="B19" i="41"/>
  <c r="D19" i="41" s="1"/>
  <c r="B18" i="41"/>
  <c r="B17" i="41"/>
  <c r="D17" i="41" s="1"/>
  <c r="B15" i="41"/>
  <c r="D15" i="41" s="1"/>
  <c r="G41" i="14"/>
  <c r="C18" i="41"/>
  <c r="D21" i="41" l="1"/>
  <c r="M33" i="14"/>
  <c r="J33" i="14"/>
  <c r="D18" i="41"/>
  <c r="G31" i="14"/>
  <c r="C16" i="41"/>
  <c r="G39" i="14"/>
  <c r="I39" i="14" s="1"/>
  <c r="I41" i="14"/>
  <c r="L41" i="14" l="1"/>
  <c r="K41" i="14"/>
  <c r="N41" i="14"/>
  <c r="M41" i="14" s="1"/>
  <c r="O41" i="14" s="1"/>
  <c r="J41" i="14"/>
  <c r="C13" i="41"/>
  <c r="M31" i="14"/>
  <c r="J31" i="14"/>
  <c r="L39" i="14"/>
  <c r="K39" i="14"/>
  <c r="N39" i="14"/>
  <c r="J39" i="14"/>
  <c r="M39" i="14" s="1"/>
  <c r="C20" i="41"/>
  <c r="D20" i="41" s="1"/>
  <c r="M37" i="14" l="1"/>
  <c r="O37" i="14" s="1"/>
  <c r="O39" i="14"/>
  <c r="G22" i="41" l="1"/>
  <c r="G43" i="53"/>
  <c r="H43" i="53" s="1"/>
  <c r="G42" i="53"/>
  <c r="H42" i="53" s="1"/>
  <c r="G41" i="53"/>
  <c r="H41" i="53" s="1"/>
  <c r="G40" i="53"/>
  <c r="H40" i="53" s="1"/>
  <c r="G39" i="53"/>
  <c r="H39" i="53" s="1"/>
  <c r="G38" i="53"/>
  <c r="H38" i="53" s="1"/>
  <c r="G37" i="53"/>
  <c r="H37" i="53" s="1"/>
  <c r="G36" i="53"/>
  <c r="H36" i="53" s="1"/>
  <c r="G43" i="52"/>
  <c r="H43" i="52" s="1"/>
  <c r="G42" i="52"/>
  <c r="H42" i="52" s="1"/>
  <c r="G41" i="52"/>
  <c r="H41" i="52" s="1"/>
  <c r="G40" i="52"/>
  <c r="H40" i="52" s="1"/>
  <c r="G39" i="52"/>
  <c r="H39" i="52" s="1"/>
  <c r="G38" i="52"/>
  <c r="H38" i="52" s="1"/>
  <c r="G37" i="52"/>
  <c r="H37" i="52" s="1"/>
  <c r="G36" i="52"/>
  <c r="H36" i="52" s="1"/>
  <c r="G43" i="51"/>
  <c r="H43" i="51" s="1"/>
  <c r="G42" i="51"/>
  <c r="H42" i="51" s="1"/>
  <c r="G41" i="51"/>
  <c r="H41" i="51" s="1"/>
  <c r="G40" i="51"/>
  <c r="H40" i="51" s="1"/>
  <c r="G39" i="51"/>
  <c r="H39" i="51" s="1"/>
  <c r="G38" i="51"/>
  <c r="H38" i="51" s="1"/>
  <c r="G37" i="51"/>
  <c r="H37" i="51" s="1"/>
  <c r="G36" i="51"/>
  <c r="H36" i="51" s="1"/>
  <c r="G43" i="50"/>
  <c r="H43" i="50" s="1"/>
  <c r="G42" i="50"/>
  <c r="H42" i="50" s="1"/>
  <c r="G41" i="50"/>
  <c r="H41" i="50" s="1"/>
  <c r="G40" i="50"/>
  <c r="H40" i="50" s="1"/>
  <c r="G39" i="50"/>
  <c r="H39" i="50" s="1"/>
  <c r="G38" i="50"/>
  <c r="H38" i="50" s="1"/>
  <c r="G37" i="50"/>
  <c r="H37" i="50" s="1"/>
  <c r="G36" i="50"/>
  <c r="H36" i="50" s="1"/>
  <c r="G43" i="43"/>
  <c r="H43" i="43" s="1"/>
  <c r="G42" i="43"/>
  <c r="H42" i="43" s="1"/>
  <c r="G41" i="43"/>
  <c r="H41" i="43" s="1"/>
  <c r="G40" i="43"/>
  <c r="H40" i="43" s="1"/>
  <c r="G39" i="43"/>
  <c r="H39" i="43" s="1"/>
  <c r="G38" i="43"/>
  <c r="H38" i="43" s="1"/>
  <c r="G37" i="43"/>
  <c r="H37" i="43" s="1"/>
  <c r="G36" i="43"/>
  <c r="H36" i="43" s="1"/>
  <c r="G43" i="35"/>
  <c r="H43" i="35" s="1"/>
  <c r="G42" i="35"/>
  <c r="H42" i="35" s="1"/>
  <c r="G41" i="35"/>
  <c r="H41" i="35" s="1"/>
  <c r="G40" i="35"/>
  <c r="H40" i="35" s="1"/>
  <c r="G39" i="35"/>
  <c r="H39" i="35" s="1"/>
  <c r="G38" i="35"/>
  <c r="H38" i="35" s="1"/>
  <c r="G37" i="35"/>
  <c r="H37" i="35" s="1"/>
  <c r="F43" i="53"/>
  <c r="E186" i="42"/>
  <c r="E185" i="42"/>
  <c r="E184" i="42"/>
  <c r="L26" i="37"/>
  <c r="L25" i="37"/>
  <c r="L24" i="37"/>
  <c r="L23" i="37"/>
  <c r="L22" i="37"/>
  <c r="L35" i="37" s="1"/>
  <c r="L21" i="37"/>
  <c r="L34" i="37" s="1"/>
  <c r="L20" i="37"/>
  <c r="L33" i="37" s="1"/>
  <c r="L19" i="37"/>
  <c r="L32" i="37" s="1"/>
  <c r="C188" i="42"/>
  <c r="A25" i="37"/>
  <c r="C48" i="27"/>
  <c r="C49" i="27" s="1"/>
  <c r="C50" i="27" s="1"/>
  <c r="C51" i="27" s="1"/>
  <c r="C52" i="27" s="1"/>
  <c r="C53" i="27" s="1"/>
  <c r="C54" i="27" s="1"/>
  <c r="C55" i="27" s="1"/>
  <c r="C56" i="27" s="1"/>
  <c r="C57" i="27" s="1"/>
  <c r="F36" i="43" l="1"/>
  <c r="F36" i="52"/>
  <c r="F36" i="53"/>
  <c r="F36" i="35"/>
  <c r="F37" i="43"/>
  <c r="F37" i="50"/>
  <c r="F37" i="51"/>
  <c r="F37" i="52"/>
  <c r="F37" i="53"/>
  <c r="F36" i="51"/>
  <c r="F38" i="50"/>
  <c r="F39" i="35"/>
  <c r="F39" i="43"/>
  <c r="F39" i="50"/>
  <c r="F39" i="51"/>
  <c r="F39" i="52"/>
  <c r="F39" i="53"/>
  <c r="F37" i="35"/>
  <c r="F38" i="43"/>
  <c r="F38" i="53"/>
  <c r="F40" i="35"/>
  <c r="F40" i="43"/>
  <c r="F40" i="50"/>
  <c r="F40" i="51"/>
  <c r="F40" i="52"/>
  <c r="F40" i="53"/>
  <c r="F38" i="35"/>
  <c r="F38" i="52"/>
  <c r="F41" i="35"/>
  <c r="F41" i="43"/>
  <c r="F41" i="50"/>
  <c r="F41" i="51"/>
  <c r="F41" i="52"/>
  <c r="F41" i="53"/>
  <c r="F36" i="50"/>
  <c r="F38" i="51"/>
  <c r="F42" i="35"/>
  <c r="F42" i="43"/>
  <c r="F42" i="50"/>
  <c r="F42" i="51"/>
  <c r="F42" i="52"/>
  <c r="F42" i="53"/>
  <c r="F43" i="35"/>
  <c r="F43" i="43"/>
  <c r="F43" i="50"/>
  <c r="F43" i="51"/>
  <c r="F43" i="52"/>
  <c r="E187" i="42"/>
  <c r="D187" i="42" s="1"/>
  <c r="A21" i="37" s="1"/>
  <c r="C119" i="56"/>
  <c r="C118" i="56"/>
  <c r="C117" i="56"/>
  <c r="C116" i="56"/>
  <c r="C115" i="56"/>
  <c r="C114" i="56"/>
  <c r="C113" i="56"/>
  <c r="C112" i="56"/>
  <c r="C111" i="56"/>
  <c r="C110" i="56"/>
  <c r="C109" i="56"/>
  <c r="C108" i="56"/>
  <c r="C107" i="56"/>
  <c r="C106" i="56"/>
  <c r="C105" i="56"/>
  <c r="C104" i="56"/>
  <c r="C103" i="56"/>
  <c r="C102" i="56"/>
  <c r="C101" i="56"/>
  <c r="C100" i="56"/>
  <c r="C99" i="56"/>
  <c r="C98" i="56"/>
  <c r="C97" i="56"/>
  <c r="C96" i="56"/>
  <c r="C95" i="56"/>
  <c r="C94" i="56"/>
  <c r="C93" i="56"/>
  <c r="C92" i="56"/>
  <c r="C91" i="56"/>
  <c r="C90" i="56"/>
  <c r="C89" i="56"/>
  <c r="C88" i="56"/>
  <c r="C87" i="56"/>
  <c r="C86" i="56"/>
  <c r="C85" i="56"/>
  <c r="C84" i="56"/>
  <c r="C83" i="56"/>
  <c r="C82" i="56"/>
  <c r="C81" i="56"/>
  <c r="C80" i="56"/>
  <c r="C79" i="56"/>
  <c r="C78" i="56"/>
  <c r="C77" i="56"/>
  <c r="C76" i="56"/>
  <c r="C75" i="56"/>
  <c r="C74" i="56"/>
  <c r="C73" i="56"/>
  <c r="C72" i="56"/>
  <c r="C71" i="56"/>
  <c r="C70" i="56"/>
  <c r="C69" i="56"/>
  <c r="C68" i="56"/>
  <c r="C67" i="56"/>
  <c r="C66" i="56"/>
  <c r="C65" i="56"/>
  <c r="C64" i="56"/>
  <c r="C63" i="56"/>
  <c r="C62" i="56"/>
  <c r="C61" i="56"/>
  <c r="C60" i="56"/>
  <c r="C59" i="56"/>
  <c r="C58" i="56"/>
  <c r="C57" i="56"/>
  <c r="C56" i="56"/>
  <c r="C55" i="56"/>
  <c r="C54" i="56"/>
  <c r="C53" i="56"/>
  <c r="C52" i="56"/>
  <c r="C51" i="56"/>
  <c r="C50" i="56"/>
  <c r="C49" i="56"/>
  <c r="C48" i="56"/>
  <c r="C47" i="56"/>
  <c r="C46" i="56"/>
  <c r="C45" i="56"/>
  <c r="C44" i="56"/>
  <c r="C43" i="56"/>
  <c r="C42" i="56"/>
  <c r="C41" i="56"/>
  <c r="C40" i="56"/>
  <c r="C39" i="56"/>
  <c r="C38" i="56"/>
  <c r="C37" i="56"/>
  <c r="C36" i="56"/>
  <c r="C35" i="56"/>
  <c r="C34" i="56"/>
  <c r="C33" i="56"/>
  <c r="C32" i="56"/>
  <c r="C31" i="56"/>
  <c r="C30" i="56"/>
  <c r="C29" i="56"/>
  <c r="C28" i="56"/>
  <c r="C27" i="56"/>
  <c r="C26" i="56"/>
  <c r="C25" i="56"/>
  <c r="C24" i="56"/>
  <c r="C23" i="56"/>
  <c r="C22" i="56"/>
  <c r="C21" i="56"/>
  <c r="C20" i="56"/>
  <c r="C19" i="56"/>
  <c r="C18" i="56"/>
  <c r="C17" i="56"/>
  <c r="C16" i="56"/>
  <c r="C15" i="56"/>
  <c r="C14" i="56"/>
  <c r="C13" i="56"/>
  <c r="C12" i="56"/>
  <c r="C11" i="56"/>
  <c r="C10" i="56"/>
  <c r="C9" i="56"/>
  <c r="C8" i="56"/>
  <c r="C7" i="56"/>
  <c r="C6" i="56"/>
  <c r="C5" i="56"/>
  <c r="C193" i="42" l="1"/>
  <c r="D18" i="55"/>
  <c r="D18" i="54"/>
  <c r="D18" i="53"/>
  <c r="D18" i="52"/>
  <c r="D18" i="51"/>
  <c r="D18" i="50"/>
  <c r="C28" i="50"/>
  <c r="D18" i="43"/>
  <c r="D18" i="35"/>
  <c r="F29" i="14"/>
  <c r="E29" i="14"/>
  <c r="F27" i="14"/>
  <c r="E27" i="14"/>
  <c r="F25" i="14"/>
  <c r="E25" i="14"/>
  <c r="F23" i="14"/>
  <c r="E23" i="14"/>
  <c r="F21" i="14"/>
  <c r="E21" i="14"/>
  <c r="E19" i="14"/>
  <c r="F19" i="14"/>
  <c r="D31" i="55"/>
  <c r="E15" i="55"/>
  <c r="G12" i="55"/>
  <c r="G13" i="55" s="1"/>
  <c r="C48" i="55"/>
  <c r="E42" i="55"/>
  <c r="D40" i="55"/>
  <c r="H40" i="55" s="1"/>
  <c r="K40" i="55" s="1"/>
  <c r="D39" i="55"/>
  <c r="H39" i="55" s="1"/>
  <c r="K39" i="55" s="1"/>
  <c r="D37" i="55"/>
  <c r="H37" i="55" s="1"/>
  <c r="K37" i="55" s="1"/>
  <c r="G36" i="55"/>
  <c r="D36" i="55"/>
  <c r="D26" i="55"/>
  <c r="D25" i="55"/>
  <c r="D24" i="55"/>
  <c r="D22" i="55"/>
  <c r="D20" i="55"/>
  <c r="D19" i="55"/>
  <c r="D17" i="55"/>
  <c r="G15" i="55"/>
  <c r="E13" i="55"/>
  <c r="E12" i="55"/>
  <c r="D12" i="55"/>
  <c r="D31" i="54"/>
  <c r="F22" i="54" s="1"/>
  <c r="E15" i="54"/>
  <c r="G12" i="54"/>
  <c r="G13" i="54" s="1"/>
  <c r="C48" i="54"/>
  <c r="E42" i="54"/>
  <c r="D40" i="54"/>
  <c r="H40" i="54" s="1"/>
  <c r="K40" i="54" s="1"/>
  <c r="D39" i="54"/>
  <c r="H39" i="54" s="1"/>
  <c r="K39" i="54" s="1"/>
  <c r="D37" i="54"/>
  <c r="H37" i="54" s="1"/>
  <c r="K37" i="54" s="1"/>
  <c r="G36" i="54"/>
  <c r="D36" i="54"/>
  <c r="D26" i="54"/>
  <c r="D25" i="54"/>
  <c r="D24" i="54"/>
  <c r="D22" i="54"/>
  <c r="D20" i="54"/>
  <c r="D19" i="54"/>
  <c r="D17" i="54"/>
  <c r="G15" i="54"/>
  <c r="E13" i="54"/>
  <c r="E12" i="54"/>
  <c r="D12" i="54"/>
  <c r="D31" i="53"/>
  <c r="E15" i="53"/>
  <c r="G12" i="53"/>
  <c r="G13" i="53" s="1"/>
  <c r="C48" i="53"/>
  <c r="E42" i="53"/>
  <c r="D40" i="53"/>
  <c r="K40" i="53" s="1"/>
  <c r="D39" i="53"/>
  <c r="K39" i="53" s="1"/>
  <c r="D37" i="53"/>
  <c r="K37" i="53" s="1"/>
  <c r="D36" i="53"/>
  <c r="D26" i="53"/>
  <c r="D25" i="53"/>
  <c r="D24" i="53"/>
  <c r="D22" i="53"/>
  <c r="D20" i="53"/>
  <c r="D19" i="53"/>
  <c r="D17" i="53"/>
  <c r="E13" i="53"/>
  <c r="E12" i="53"/>
  <c r="F12" i="53" s="1"/>
  <c r="F13" i="53" s="1"/>
  <c r="D12" i="53"/>
  <c r="D31" i="52"/>
  <c r="E15" i="52"/>
  <c r="G12" i="52"/>
  <c r="G13" i="52" s="1"/>
  <c r="C48" i="52"/>
  <c r="E42" i="52"/>
  <c r="D40" i="52"/>
  <c r="K40" i="52" s="1"/>
  <c r="D39" i="52"/>
  <c r="K39" i="52" s="1"/>
  <c r="D37" i="52"/>
  <c r="K37" i="52" s="1"/>
  <c r="D36" i="52"/>
  <c r="D26" i="52"/>
  <c r="D25" i="52"/>
  <c r="D24" i="52"/>
  <c r="D22" i="52"/>
  <c r="D20" i="52"/>
  <c r="D19" i="52"/>
  <c r="D17" i="52"/>
  <c r="E13" i="52"/>
  <c r="E12" i="52"/>
  <c r="F12" i="52" s="1"/>
  <c r="F13" i="52" s="1"/>
  <c r="D12" i="52"/>
  <c r="D31" i="51"/>
  <c r="E15" i="51"/>
  <c r="G12" i="51"/>
  <c r="G13" i="51" s="1"/>
  <c r="C48" i="51"/>
  <c r="E42" i="51"/>
  <c r="D40" i="51"/>
  <c r="K40" i="51" s="1"/>
  <c r="D39" i="51"/>
  <c r="K39" i="51" s="1"/>
  <c r="D37" i="51"/>
  <c r="K37" i="51" s="1"/>
  <c r="D36" i="51"/>
  <c r="D26" i="51"/>
  <c r="D25" i="51"/>
  <c r="D24" i="51"/>
  <c r="D22" i="51"/>
  <c r="D20" i="51"/>
  <c r="D19" i="51"/>
  <c r="D17" i="51"/>
  <c r="E13" i="51"/>
  <c r="E12" i="51"/>
  <c r="F12" i="51" s="1"/>
  <c r="F13" i="51" s="1"/>
  <c r="D12" i="51"/>
  <c r="D31" i="50"/>
  <c r="E15" i="50"/>
  <c r="G12" i="50"/>
  <c r="G13" i="50" s="1"/>
  <c r="C48" i="50"/>
  <c r="E42" i="50"/>
  <c r="D40" i="50"/>
  <c r="K40" i="50" s="1"/>
  <c r="D39" i="50"/>
  <c r="K39" i="50" s="1"/>
  <c r="D37" i="50"/>
  <c r="K37" i="50" s="1"/>
  <c r="D36" i="50"/>
  <c r="D26" i="50"/>
  <c r="D25" i="50"/>
  <c r="D24" i="50"/>
  <c r="D22" i="50"/>
  <c r="D20" i="50"/>
  <c r="D19" i="50"/>
  <c r="D17" i="50"/>
  <c r="E13" i="50"/>
  <c r="E12" i="50"/>
  <c r="F12" i="50" s="1"/>
  <c r="D12" i="50"/>
  <c r="D31" i="43"/>
  <c r="F22" i="35"/>
  <c r="E15" i="43"/>
  <c r="G12" i="43"/>
  <c r="G13" i="43" s="1"/>
  <c r="C48" i="43"/>
  <c r="E42" i="43"/>
  <c r="D40" i="43"/>
  <c r="K40" i="43" s="1"/>
  <c r="D39" i="43"/>
  <c r="K39" i="43" s="1"/>
  <c r="D37" i="43"/>
  <c r="K37" i="43" s="1"/>
  <c r="D36" i="43"/>
  <c r="K36" i="43" s="1"/>
  <c r="D26" i="43"/>
  <c r="D25" i="43"/>
  <c r="D24" i="43"/>
  <c r="D22" i="43"/>
  <c r="D20" i="43"/>
  <c r="D19" i="43"/>
  <c r="D17" i="43"/>
  <c r="E13" i="43"/>
  <c r="E12" i="43"/>
  <c r="F12" i="43" s="1"/>
  <c r="F13" i="43" s="1"/>
  <c r="D12" i="43"/>
  <c r="C48" i="35"/>
  <c r="E42" i="35"/>
  <c r="D40" i="35"/>
  <c r="K40" i="35" s="1"/>
  <c r="D39" i="35"/>
  <c r="K39" i="35" s="1"/>
  <c r="D38" i="35"/>
  <c r="K38" i="35" s="1"/>
  <c r="D37" i="35"/>
  <c r="K37" i="35" s="1"/>
  <c r="G36" i="35"/>
  <c r="H36" i="35" s="1"/>
  <c r="D36" i="35"/>
  <c r="D31" i="35"/>
  <c r="D27" i="13"/>
  <c r="D26" i="13"/>
  <c r="D7" i="13"/>
  <c r="F22" i="13" s="1"/>
  <c r="F23" i="13" s="1"/>
  <c r="G23" i="13" s="1"/>
  <c r="E23" i="13"/>
  <c r="E25" i="13" s="1"/>
  <c r="G25" i="13" s="1"/>
  <c r="E22" i="13"/>
  <c r="E11" i="13"/>
  <c r="D25" i="13"/>
  <c r="D23" i="13"/>
  <c r="D22" i="13"/>
  <c r="E16" i="13"/>
  <c r="E15" i="13"/>
  <c r="D26" i="35"/>
  <c r="D25" i="35"/>
  <c r="D24" i="35"/>
  <c r="D22" i="35"/>
  <c r="D20" i="35"/>
  <c r="D19" i="35"/>
  <c r="D17" i="35"/>
  <c r="G13" i="35"/>
  <c r="G15" i="35"/>
  <c r="E15" i="35"/>
  <c r="E17" i="35"/>
  <c r="E13" i="35"/>
  <c r="E12" i="35"/>
  <c r="F12" i="35" s="1"/>
  <c r="D12" i="35"/>
  <c r="E19" i="35" l="1"/>
  <c r="F19" i="35" s="1"/>
  <c r="F17" i="35"/>
  <c r="F13" i="50"/>
  <c r="G21" i="14"/>
  <c r="G29" i="14"/>
  <c r="C12" i="41" s="1"/>
  <c r="G27" i="14"/>
  <c r="C11" i="41" s="1"/>
  <c r="G25" i="14"/>
  <c r="C10" i="41" s="1"/>
  <c r="G23" i="14"/>
  <c r="C9" i="41" s="1"/>
  <c r="G19" i="14"/>
  <c r="D38" i="55"/>
  <c r="H38" i="55" s="1"/>
  <c r="K38" i="55" s="1"/>
  <c r="H13" i="52"/>
  <c r="I13" i="52" s="1"/>
  <c r="K41" i="53"/>
  <c r="H13" i="50"/>
  <c r="I13" i="50" s="1"/>
  <c r="F36" i="54"/>
  <c r="H36" i="54" s="1"/>
  <c r="K36" i="54" s="1"/>
  <c r="D38" i="43"/>
  <c r="K38" i="43" s="1"/>
  <c r="K41" i="43"/>
  <c r="K36" i="51"/>
  <c r="H13" i="43"/>
  <c r="I13" i="43" s="1"/>
  <c r="F12" i="55"/>
  <c r="F13" i="55" s="1"/>
  <c r="H13" i="55" s="1"/>
  <c r="I13" i="55" s="1"/>
  <c r="K36" i="52"/>
  <c r="K36" i="53"/>
  <c r="E17" i="50"/>
  <c r="E17" i="51"/>
  <c r="F36" i="55"/>
  <c r="H36" i="55" s="1"/>
  <c r="K36" i="55" s="1"/>
  <c r="D38" i="51"/>
  <c r="K38" i="51" s="1"/>
  <c r="E17" i="52"/>
  <c r="E17" i="53"/>
  <c r="F17" i="53" s="1"/>
  <c r="E17" i="54"/>
  <c r="E18" i="54" s="1"/>
  <c r="F18" i="54" s="1"/>
  <c r="H18" i="54" s="1"/>
  <c r="I18" i="54" s="1"/>
  <c r="H22" i="50"/>
  <c r="I22" i="50" s="1"/>
  <c r="K41" i="51"/>
  <c r="D38" i="52"/>
  <c r="K38" i="52" s="1"/>
  <c r="D38" i="53"/>
  <c r="K38" i="53" s="1"/>
  <c r="D41" i="54"/>
  <c r="H41" i="54" s="1"/>
  <c r="K41" i="54" s="1"/>
  <c r="D38" i="54"/>
  <c r="H38" i="54" s="1"/>
  <c r="K38" i="54" s="1"/>
  <c r="E17" i="55"/>
  <c r="E18" i="55" s="1"/>
  <c r="F18" i="55" s="1"/>
  <c r="H18" i="55" s="1"/>
  <c r="I18" i="55" s="1"/>
  <c r="E17" i="43"/>
  <c r="F17" i="43" s="1"/>
  <c r="K41" i="50"/>
  <c r="D38" i="50"/>
  <c r="K38" i="50" s="1"/>
  <c r="K41" i="52"/>
  <c r="H13" i="53"/>
  <c r="I13" i="53" s="1"/>
  <c r="F12" i="54"/>
  <c r="H12" i="54" s="1"/>
  <c r="D41" i="55"/>
  <c r="H41" i="55" s="1"/>
  <c r="K41" i="55" s="1"/>
  <c r="F22" i="55"/>
  <c r="H22" i="55" s="1"/>
  <c r="I22" i="55" s="1"/>
  <c r="H22" i="54"/>
  <c r="I22" i="54" s="1"/>
  <c r="H22" i="53"/>
  <c r="I22" i="53" s="1"/>
  <c r="H22" i="52"/>
  <c r="I22" i="52" s="1"/>
  <c r="H22" i="51"/>
  <c r="I22" i="51" s="1"/>
  <c r="H22" i="43"/>
  <c r="I22" i="43" s="1"/>
  <c r="H22" i="35"/>
  <c r="I22" i="35" s="1"/>
  <c r="K41" i="35"/>
  <c r="F16" i="13"/>
  <c r="G16" i="13" s="1"/>
  <c r="F11" i="13"/>
  <c r="G11" i="13" s="1"/>
  <c r="K36" i="35"/>
  <c r="F12" i="13"/>
  <c r="F15" i="13"/>
  <c r="G15" i="13" s="1"/>
  <c r="F25" i="13"/>
  <c r="F26" i="13" s="1"/>
  <c r="H19" i="35"/>
  <c r="I19" i="35" s="1"/>
  <c r="E20" i="35"/>
  <c r="E18" i="35"/>
  <c r="H17" i="35"/>
  <c r="I17" i="35" s="1"/>
  <c r="F17" i="51" l="1"/>
  <c r="H17" i="51" s="1"/>
  <c r="I17" i="51" s="1"/>
  <c r="F20" i="35"/>
  <c r="H20" i="35" s="1"/>
  <c r="I20" i="35" s="1"/>
  <c r="F17" i="50"/>
  <c r="H17" i="50" s="1"/>
  <c r="I17" i="50" s="1"/>
  <c r="F18" i="35"/>
  <c r="H18" i="35" s="1"/>
  <c r="I18" i="35" s="1"/>
  <c r="H17" i="52"/>
  <c r="I17" i="52" s="1"/>
  <c r="F17" i="52"/>
  <c r="F14" i="13"/>
  <c r="G14" i="13" s="1"/>
  <c r="G12" i="13"/>
  <c r="C8" i="41"/>
  <c r="G42" i="14"/>
  <c r="C7" i="41"/>
  <c r="D42" i="52"/>
  <c r="I42" i="52" s="1"/>
  <c r="I45" i="52" s="1"/>
  <c r="H12" i="52"/>
  <c r="H12" i="50"/>
  <c r="E19" i="54"/>
  <c r="F19" i="54" s="1"/>
  <c r="H19" i="54" s="1"/>
  <c r="I19" i="54" s="1"/>
  <c r="K45" i="52"/>
  <c r="K45" i="43"/>
  <c r="H12" i="43"/>
  <c r="F17" i="55"/>
  <c r="H17" i="55" s="1"/>
  <c r="I17" i="55" s="1"/>
  <c r="D42" i="50"/>
  <c r="I42" i="50" s="1"/>
  <c r="I45" i="50" s="1"/>
  <c r="D42" i="51"/>
  <c r="I42" i="51" s="1"/>
  <c r="I45" i="51" s="1"/>
  <c r="F17" i="54"/>
  <c r="H17" i="54" s="1"/>
  <c r="I17" i="54" s="1"/>
  <c r="D42" i="55"/>
  <c r="H42" i="55" s="1"/>
  <c r="I42" i="55" s="1"/>
  <c r="I45" i="55" s="1"/>
  <c r="E19" i="55"/>
  <c r="E20" i="55" s="1"/>
  <c r="F20" i="55" s="1"/>
  <c r="H20" i="55" s="1"/>
  <c r="I20" i="55" s="1"/>
  <c r="K45" i="54"/>
  <c r="D42" i="43"/>
  <c r="I42" i="43" s="1"/>
  <c r="I45" i="43" s="1"/>
  <c r="K45" i="55"/>
  <c r="F13" i="54"/>
  <c r="H13" i="54" s="1"/>
  <c r="I13" i="54" s="1"/>
  <c r="H12" i="55"/>
  <c r="F15" i="55" s="1"/>
  <c r="H15" i="55" s="1"/>
  <c r="I15" i="55" s="1"/>
  <c r="D42" i="54"/>
  <c r="H42" i="54" s="1"/>
  <c r="I42" i="54" s="1"/>
  <c r="I45" i="54" s="1"/>
  <c r="H12" i="51"/>
  <c r="H13" i="51"/>
  <c r="I13" i="51" s="1"/>
  <c r="D42" i="53"/>
  <c r="I42" i="53" s="1"/>
  <c r="I45" i="53" s="1"/>
  <c r="K45" i="53"/>
  <c r="K45" i="51"/>
  <c r="H12" i="53"/>
  <c r="E18" i="43"/>
  <c r="E19" i="43"/>
  <c r="F19" i="43" s="1"/>
  <c r="E19" i="53"/>
  <c r="F19" i="53" s="1"/>
  <c r="E18" i="53"/>
  <c r="E18" i="51"/>
  <c r="E19" i="51"/>
  <c r="F19" i="51" s="1"/>
  <c r="E19" i="50"/>
  <c r="F19" i="50" s="1"/>
  <c r="E18" i="50"/>
  <c r="K36" i="50"/>
  <c r="K45" i="50" s="1"/>
  <c r="K45" i="35"/>
  <c r="H17" i="43"/>
  <c r="I17" i="43" s="1"/>
  <c r="E18" i="52"/>
  <c r="E19" i="52"/>
  <c r="F19" i="52" s="1"/>
  <c r="H17" i="53"/>
  <c r="I17" i="53" s="1"/>
  <c r="I12" i="54"/>
  <c r="F15" i="54"/>
  <c r="H15" i="54" s="1"/>
  <c r="I15" i="54" s="1"/>
  <c r="F13" i="35"/>
  <c r="H13" i="35" s="1"/>
  <c r="I13" i="35" s="1"/>
  <c r="D42" i="35"/>
  <c r="I42" i="35" s="1"/>
  <c r="I45" i="35" s="1"/>
  <c r="F27" i="13"/>
  <c r="G17" i="13"/>
  <c r="H12" i="35"/>
  <c r="F18" i="52" l="1"/>
  <c r="H18" i="52" s="1"/>
  <c r="I18" i="52" s="1"/>
  <c r="F18" i="51"/>
  <c r="H18" i="51" s="1"/>
  <c r="I18" i="51" s="1"/>
  <c r="F18" i="50"/>
  <c r="H18" i="50" s="1"/>
  <c r="I18" i="50" s="1"/>
  <c r="F18" i="53"/>
  <c r="H18" i="53" s="1"/>
  <c r="I18" i="53" s="1"/>
  <c r="F18" i="43"/>
  <c r="H18" i="43" s="1"/>
  <c r="I18" i="43" s="1"/>
  <c r="E26" i="55"/>
  <c r="H26" i="55" s="1"/>
  <c r="K26" i="55" s="1"/>
  <c r="E25" i="59"/>
  <c r="H25" i="59" s="1"/>
  <c r="K25" i="59" s="1"/>
  <c r="E25" i="60"/>
  <c r="H25" i="60" s="1"/>
  <c r="K25" i="60" s="1"/>
  <c r="E24" i="60"/>
  <c r="H24" i="60" s="1"/>
  <c r="K24" i="60" s="1"/>
  <c r="E26" i="60"/>
  <c r="H26" i="60" s="1"/>
  <c r="K26" i="60" s="1"/>
  <c r="E24" i="59"/>
  <c r="H24" i="59" s="1"/>
  <c r="K24" i="59" s="1"/>
  <c r="E26" i="59"/>
  <c r="H26" i="59" s="1"/>
  <c r="K26" i="59" s="1"/>
  <c r="F15" i="53"/>
  <c r="H15" i="53" s="1"/>
  <c r="I15" i="53" s="1"/>
  <c r="I12" i="52"/>
  <c r="F15" i="52"/>
  <c r="H15" i="52" s="1"/>
  <c r="I15" i="52" s="1"/>
  <c r="I12" i="51"/>
  <c r="F15" i="51"/>
  <c r="I12" i="50"/>
  <c r="F15" i="50"/>
  <c r="H15" i="50" s="1"/>
  <c r="I15" i="50" s="1"/>
  <c r="F15" i="43"/>
  <c r="H15" i="43" s="1"/>
  <c r="I15" i="43" s="1"/>
  <c r="E117" i="27"/>
  <c r="E24" i="51"/>
  <c r="E25" i="35"/>
  <c r="E26" i="43"/>
  <c r="E24" i="35"/>
  <c r="E24" i="50"/>
  <c r="E25" i="55"/>
  <c r="H25" i="55" s="1"/>
  <c r="K25" i="55" s="1"/>
  <c r="E26" i="54"/>
  <c r="H26" i="54" s="1"/>
  <c r="K26" i="54" s="1"/>
  <c r="E25" i="50"/>
  <c r="E24" i="52"/>
  <c r="E26" i="53"/>
  <c r="E26" i="52"/>
  <c r="E24" i="43"/>
  <c r="E25" i="51"/>
  <c r="E24" i="53"/>
  <c r="E25" i="54"/>
  <c r="H25" i="54" s="1"/>
  <c r="K25" i="54" s="1"/>
  <c r="E26" i="35"/>
  <c r="E26" i="50"/>
  <c r="E25" i="52"/>
  <c r="I12" i="55"/>
  <c r="E24" i="54"/>
  <c r="H24" i="54" s="1"/>
  <c r="K24" i="54" s="1"/>
  <c r="E24" i="55"/>
  <c r="H24" i="55" s="1"/>
  <c r="K24" i="55" s="1"/>
  <c r="E25" i="43"/>
  <c r="E26" i="51"/>
  <c r="E25" i="53"/>
  <c r="E20" i="54"/>
  <c r="F20" i="54" s="1"/>
  <c r="H20" i="54" s="1"/>
  <c r="I20" i="54" s="1"/>
  <c r="I32" i="54" s="1"/>
  <c r="I12" i="43"/>
  <c r="H15" i="51"/>
  <c r="I15" i="51" s="1"/>
  <c r="I12" i="53"/>
  <c r="F19" i="55"/>
  <c r="H19" i="55" s="1"/>
  <c r="I19" i="55" s="1"/>
  <c r="G28" i="13"/>
  <c r="G30" i="13" s="1"/>
  <c r="H19" i="52"/>
  <c r="I19" i="52" s="1"/>
  <c r="E20" i="52"/>
  <c r="H19" i="51"/>
  <c r="I19" i="51" s="1"/>
  <c r="E20" i="51"/>
  <c r="E20" i="43"/>
  <c r="H19" i="43"/>
  <c r="I19" i="43" s="1"/>
  <c r="H19" i="53"/>
  <c r="I19" i="53" s="1"/>
  <c r="E20" i="53"/>
  <c r="E20" i="50"/>
  <c r="H19" i="50"/>
  <c r="I19" i="50" s="1"/>
  <c r="I12" i="35"/>
  <c r="F15" i="35"/>
  <c r="H15" i="35" s="1"/>
  <c r="I15" i="35" s="1"/>
  <c r="H20" i="53" l="1"/>
  <c r="I20" i="53" s="1"/>
  <c r="I32" i="53" s="1"/>
  <c r="F20" i="53"/>
  <c r="F20" i="50"/>
  <c r="H20" i="50" s="1"/>
  <c r="I20" i="50" s="1"/>
  <c r="I32" i="50" s="1"/>
  <c r="F20" i="51"/>
  <c r="H20" i="51" s="1"/>
  <c r="I20" i="51" s="1"/>
  <c r="I32" i="51" s="1"/>
  <c r="J25" i="14" s="1"/>
  <c r="H20" i="52"/>
  <c r="I20" i="52" s="1"/>
  <c r="I32" i="52" s="1"/>
  <c r="J27" i="14" s="1"/>
  <c r="F20" i="52"/>
  <c r="F31" i="35"/>
  <c r="F31" i="60"/>
  <c r="F31" i="59"/>
  <c r="G32" i="13"/>
  <c r="G31" i="13"/>
  <c r="H20" i="43"/>
  <c r="I20" i="43" s="1"/>
  <c r="F20" i="43"/>
  <c r="K32" i="59"/>
  <c r="H24" i="51"/>
  <c r="K24" i="51" s="1"/>
  <c r="K32" i="60"/>
  <c r="H24" i="53"/>
  <c r="K24" i="53" s="1"/>
  <c r="H25" i="35"/>
  <c r="K25" i="35" s="1"/>
  <c r="H25" i="51"/>
  <c r="K25" i="51" s="1"/>
  <c r="H25" i="53"/>
  <c r="K25" i="53" s="1"/>
  <c r="H26" i="51"/>
  <c r="K26" i="51" s="1"/>
  <c r="H26" i="52"/>
  <c r="K26" i="52" s="1"/>
  <c r="H24" i="50"/>
  <c r="K24" i="50" s="1"/>
  <c r="H25" i="52"/>
  <c r="K25" i="52" s="1"/>
  <c r="H24" i="43"/>
  <c r="K24" i="43" s="1"/>
  <c r="H26" i="50"/>
  <c r="K26" i="50" s="1"/>
  <c r="H25" i="43"/>
  <c r="K25" i="43" s="1"/>
  <c r="H26" i="35"/>
  <c r="K26" i="35" s="1"/>
  <c r="H26" i="53"/>
  <c r="K26" i="53" s="1"/>
  <c r="H24" i="35"/>
  <c r="K24" i="35" s="1"/>
  <c r="H25" i="50"/>
  <c r="K25" i="50" s="1"/>
  <c r="H24" i="52"/>
  <c r="K24" i="52" s="1"/>
  <c r="H26" i="43"/>
  <c r="K26" i="43" s="1"/>
  <c r="F31" i="53"/>
  <c r="F31" i="51"/>
  <c r="F31" i="43"/>
  <c r="F31" i="52"/>
  <c r="F31" i="50"/>
  <c r="F31" i="55"/>
  <c r="F31" i="54"/>
  <c r="K32" i="55"/>
  <c r="K32" i="54"/>
  <c r="I32" i="55"/>
  <c r="I32" i="43"/>
  <c r="J21" i="14" s="1"/>
  <c r="I32" i="35"/>
  <c r="J19" i="14" s="1"/>
  <c r="D43" i="59" l="1"/>
  <c r="G31" i="59"/>
  <c r="J31" i="59" s="1"/>
  <c r="J32" i="59" s="1"/>
  <c r="K31" i="14" s="1"/>
  <c r="D43" i="60"/>
  <c r="G31" i="60"/>
  <c r="J31" i="60" s="1"/>
  <c r="J32" i="60" s="1"/>
  <c r="K33" i="14" s="1"/>
  <c r="L31" i="14"/>
  <c r="K32" i="35"/>
  <c r="L19" i="14" s="1"/>
  <c r="L33" i="14"/>
  <c r="K32" i="43"/>
  <c r="L21" i="14" s="1"/>
  <c r="K32" i="50"/>
  <c r="L23" i="14" s="1"/>
  <c r="K32" i="52"/>
  <c r="L27" i="14" s="1"/>
  <c r="K32" i="53"/>
  <c r="L29" i="14" s="1"/>
  <c r="K32" i="51"/>
  <c r="L25" i="14" s="1"/>
  <c r="J29" i="14"/>
  <c r="J23" i="14"/>
  <c r="D43" i="43"/>
  <c r="J43" i="43" s="1"/>
  <c r="J45" i="43" s="1"/>
  <c r="J47" i="43" s="1"/>
  <c r="M21" i="14" s="1"/>
  <c r="G31" i="43"/>
  <c r="J31" i="43" s="1"/>
  <c r="J32" i="43" s="1"/>
  <c r="D43" i="53"/>
  <c r="J43" i="53" s="1"/>
  <c r="J45" i="53" s="1"/>
  <c r="J47" i="53" s="1"/>
  <c r="G31" i="53"/>
  <c r="J31" i="53" s="1"/>
  <c r="J32" i="53" s="1"/>
  <c r="D43" i="51"/>
  <c r="J43" i="51" s="1"/>
  <c r="J45" i="51" s="1"/>
  <c r="J47" i="51" s="1"/>
  <c r="M25" i="14" s="1"/>
  <c r="G31" i="51"/>
  <c r="J31" i="51" s="1"/>
  <c r="J32" i="51" s="1"/>
  <c r="D43" i="52"/>
  <c r="J43" i="52" s="1"/>
  <c r="J45" i="52" s="1"/>
  <c r="J47" i="52" s="1"/>
  <c r="M27" i="14" s="1"/>
  <c r="G31" i="52"/>
  <c r="J31" i="52" s="1"/>
  <c r="J32" i="52" s="1"/>
  <c r="D43" i="55"/>
  <c r="H43" i="55" s="1"/>
  <c r="J43" i="55" s="1"/>
  <c r="J45" i="55" s="1"/>
  <c r="J47" i="55" s="1"/>
  <c r="G31" i="55"/>
  <c r="J31" i="55" s="1"/>
  <c r="J32" i="55" s="1"/>
  <c r="D43" i="50"/>
  <c r="J43" i="50" s="1"/>
  <c r="J45" i="50" s="1"/>
  <c r="J47" i="50" s="1"/>
  <c r="M23" i="14" s="1"/>
  <c r="G31" i="50"/>
  <c r="J31" i="50" s="1"/>
  <c r="J32" i="50" s="1"/>
  <c r="G31" i="54"/>
  <c r="J31" i="54" s="1"/>
  <c r="J32" i="54" s="1"/>
  <c r="D43" i="54"/>
  <c r="H43" i="54" s="1"/>
  <c r="J43" i="54" s="1"/>
  <c r="J45" i="54" s="1"/>
  <c r="J47" i="54" s="1"/>
  <c r="J46" i="60" l="1"/>
  <c r="J48" i="60" s="1"/>
  <c r="N33" i="14" s="1"/>
  <c r="O33" i="14" s="1"/>
  <c r="J46" i="59"/>
  <c r="J49" i="60"/>
  <c r="M29" i="14"/>
  <c r="J46" i="55"/>
  <c r="J48" i="55" s="1"/>
  <c r="J46" i="52"/>
  <c r="J48" i="52" s="1"/>
  <c r="K27" i="14"/>
  <c r="J46" i="51"/>
  <c r="J48" i="51" s="1"/>
  <c r="K25" i="14"/>
  <c r="J46" i="54"/>
  <c r="J48" i="54" s="1"/>
  <c r="J46" i="50"/>
  <c r="J48" i="50" s="1"/>
  <c r="K23" i="14"/>
  <c r="J46" i="53"/>
  <c r="J48" i="53" s="1"/>
  <c r="K29" i="14"/>
  <c r="J46" i="43"/>
  <c r="J48" i="43" s="1"/>
  <c r="K21" i="14"/>
  <c r="J48" i="59" l="1"/>
  <c r="N31" i="14" s="1"/>
  <c r="O31" i="14" s="1"/>
  <c r="J49" i="59"/>
  <c r="K48" i="60"/>
  <c r="H33" i="14"/>
  <c r="K47" i="60"/>
  <c r="K46" i="60"/>
  <c r="K43" i="14"/>
  <c r="J49" i="54"/>
  <c r="J49" i="51"/>
  <c r="N25" i="14"/>
  <c r="O25" i="14" s="1"/>
  <c r="J49" i="43"/>
  <c r="N21" i="14"/>
  <c r="O21" i="14" s="1"/>
  <c r="J49" i="53"/>
  <c r="N29" i="14"/>
  <c r="O29" i="14" s="1"/>
  <c r="J49" i="52"/>
  <c r="N27" i="14"/>
  <c r="O27" i="14" s="1"/>
  <c r="J49" i="55"/>
  <c r="N23" i="14"/>
  <c r="O23" i="14" s="1"/>
  <c r="J49" i="50"/>
  <c r="H31" i="14" l="1"/>
  <c r="K46" i="59"/>
  <c r="K48" i="59"/>
  <c r="K47" i="59"/>
  <c r="I33" i="14"/>
  <c r="B14" i="41"/>
  <c r="B16" i="41"/>
  <c r="D16" i="41" s="1"/>
  <c r="K47" i="53"/>
  <c r="K46" i="53"/>
  <c r="K48" i="53"/>
  <c r="H27" i="14"/>
  <c r="I27" i="14" s="1"/>
  <c r="K46" i="52"/>
  <c r="K47" i="52"/>
  <c r="K48" i="52"/>
  <c r="H25" i="14"/>
  <c r="I25" i="14" s="1"/>
  <c r="K48" i="51"/>
  <c r="K47" i="51"/>
  <c r="K46" i="51"/>
  <c r="K48" i="50"/>
  <c r="K47" i="50"/>
  <c r="K46" i="50"/>
  <c r="K47" i="43"/>
  <c r="K46" i="43"/>
  <c r="K48" i="43"/>
  <c r="H29" i="14"/>
  <c r="I29" i="14" s="1"/>
  <c r="B13" i="41"/>
  <c r="D13" i="41" s="1"/>
  <c r="K48" i="55"/>
  <c r="K46" i="54"/>
  <c r="K47" i="54"/>
  <c r="K48" i="54"/>
  <c r="K46" i="55"/>
  <c r="K47" i="55"/>
  <c r="H21" i="14"/>
  <c r="H23" i="14"/>
  <c r="B11" i="41" l="1"/>
  <c r="D11" i="41" s="1"/>
  <c r="B10" i="41"/>
  <c r="D10" i="41" s="1"/>
  <c r="B12" i="41"/>
  <c r="D12" i="41" s="1"/>
  <c r="D14" i="41"/>
  <c r="I31" i="14"/>
  <c r="J42" i="14"/>
  <c r="I21" i="14"/>
  <c r="B8" i="41"/>
  <c r="D8" i="41" s="1"/>
  <c r="I23" i="14"/>
  <c r="B9" i="41"/>
  <c r="D9" i="41" s="1"/>
  <c r="N27" i="27"/>
  <c r="N117" i="27" s="1"/>
  <c r="L42" i="14" l="1"/>
  <c r="G31" i="35"/>
  <c r="J31" i="35" s="1"/>
  <c r="J32" i="35" s="1"/>
  <c r="D43" i="35"/>
  <c r="J43" i="35" s="1"/>
  <c r="J45" i="35" s="1"/>
  <c r="J47" i="35" s="1"/>
  <c r="M19" i="14" s="1"/>
  <c r="M42" i="14" s="1"/>
  <c r="L7" i="41"/>
  <c r="L11" i="41" s="1"/>
  <c r="N7" i="41"/>
  <c r="L10" i="41"/>
  <c r="L12" i="41" s="1"/>
  <c r="N10" i="41"/>
  <c r="K22" i="41"/>
  <c r="L22" i="41"/>
  <c r="N22" i="41"/>
  <c r="M23" i="41"/>
  <c r="O23" i="41"/>
  <c r="J46" i="35" l="1"/>
  <c r="J48" i="35" s="1"/>
  <c r="K19" i="14"/>
  <c r="K42" i="14" s="1"/>
  <c r="M22" i="41"/>
  <c r="L13" i="41"/>
  <c r="O22" i="41"/>
  <c r="N12" i="41"/>
  <c r="N11" i="41"/>
  <c r="J49" i="35" l="1"/>
  <c r="N19" i="14"/>
  <c r="N42" i="14" s="1"/>
  <c r="N13" i="41"/>
  <c r="H19" i="14" l="1"/>
  <c r="I19" i="14" s="1"/>
  <c r="K46" i="35"/>
  <c r="K48" i="35"/>
  <c r="K47" i="35"/>
  <c r="O19" i="14"/>
  <c r="F23" i="36"/>
  <c r="F22" i="36"/>
  <c r="D24" i="36"/>
  <c r="F24" i="36" s="1"/>
  <c r="B7" i="41" l="1"/>
  <c r="D7" i="41" s="1"/>
  <c r="D22" i="41" s="1"/>
  <c r="I42" i="14"/>
  <c r="O42" i="14"/>
  <c r="D41" i="36"/>
  <c r="H24" i="36"/>
  <c r="H23" i="36"/>
  <c r="H22" i="36"/>
  <c r="F18" i="36"/>
  <c r="H18" i="36" s="1"/>
  <c r="I18" i="36" s="1"/>
  <c r="F17" i="36"/>
  <c r="H17" i="36" s="1"/>
  <c r="I17" i="36" s="1"/>
  <c r="F16" i="36"/>
  <c r="H16" i="36" s="1"/>
  <c r="I16" i="36" s="1"/>
  <c r="F15" i="36"/>
  <c r="H15" i="36" s="1"/>
  <c r="I15" i="36" s="1"/>
  <c r="J47" i="14" l="1"/>
  <c r="O47" i="14" s="1"/>
  <c r="K49" i="14"/>
  <c r="K48" i="14"/>
  <c r="I43" i="14"/>
  <c r="D71" i="42"/>
  <c r="D65" i="42"/>
  <c r="D68" i="42"/>
  <c r="F40" i="36"/>
  <c r="F39" i="36"/>
  <c r="F38" i="36"/>
  <c r="F37" i="36"/>
  <c r="F36" i="36"/>
  <c r="F35" i="36"/>
  <c r="E12" i="36"/>
  <c r="DU9" i="37"/>
  <c r="DT9" i="37"/>
  <c r="DS9" i="37"/>
  <c r="DR9" i="37"/>
  <c r="DQ9" i="37"/>
  <c r="DP9" i="37"/>
  <c r="DO9" i="37"/>
  <c r="DN9" i="37"/>
  <c r="DM9" i="37"/>
  <c r="DL9" i="37"/>
  <c r="DK9" i="37"/>
  <c r="DJ9" i="37"/>
  <c r="DI9" i="37"/>
  <c r="DH9" i="37"/>
  <c r="DG9" i="37"/>
  <c r="DF9" i="37"/>
  <c r="DE9" i="37"/>
  <c r="DD9" i="37"/>
  <c r="DC9" i="37"/>
  <c r="DB9" i="37"/>
  <c r="DA9" i="37"/>
  <c r="CZ9" i="37"/>
  <c r="CY9" i="37"/>
  <c r="CX9" i="37"/>
  <c r="CW9" i="37"/>
  <c r="CV9" i="37"/>
  <c r="CU9" i="37"/>
  <c r="CT9" i="37"/>
  <c r="CS9" i="37"/>
  <c r="CR9" i="37"/>
  <c r="CQ9" i="37"/>
  <c r="CP9" i="37"/>
  <c r="CO9" i="37"/>
  <c r="CN9" i="37"/>
  <c r="CM9" i="37"/>
  <c r="CL9" i="37"/>
  <c r="CK9" i="37"/>
  <c r="CJ9" i="37"/>
  <c r="CI9" i="37"/>
  <c r="CH9" i="37"/>
  <c r="CG9" i="37"/>
  <c r="CF9" i="37"/>
  <c r="CE9" i="37"/>
  <c r="CD9" i="37"/>
  <c r="CC9" i="37"/>
  <c r="CB9" i="37"/>
  <c r="CA9" i="37"/>
  <c r="BZ9" i="37"/>
  <c r="BY9" i="37"/>
  <c r="BX9" i="37"/>
  <c r="BW9" i="37"/>
  <c r="BV9" i="37"/>
  <c r="BU9" i="37"/>
  <c r="BT9" i="37"/>
  <c r="BS9" i="37"/>
  <c r="BR9" i="37"/>
  <c r="BQ9" i="37"/>
  <c r="BP9" i="37"/>
  <c r="BO9" i="37"/>
  <c r="BN9" i="37"/>
  <c r="BM9" i="37"/>
  <c r="BL9" i="37"/>
  <c r="BK9" i="37"/>
  <c r="BJ9" i="37"/>
  <c r="BI9" i="37"/>
  <c r="BH9" i="37"/>
  <c r="BG9" i="37"/>
  <c r="BF9" i="37"/>
  <c r="BE9" i="37"/>
  <c r="BD9" i="37"/>
  <c r="BC9" i="37"/>
  <c r="BB9" i="37"/>
  <c r="BA9" i="37"/>
  <c r="AZ9" i="37"/>
  <c r="AY9" i="37"/>
  <c r="AX9" i="37"/>
  <c r="AW9" i="37"/>
  <c r="AV9" i="37"/>
  <c r="AU9" i="37"/>
  <c r="AT9" i="37"/>
  <c r="AS9" i="37"/>
  <c r="AR9" i="37"/>
  <c r="AQ9" i="37"/>
  <c r="AP9" i="37"/>
  <c r="AO9" i="37"/>
  <c r="AN9" i="37"/>
  <c r="AM9" i="37"/>
  <c r="AL9" i="37"/>
  <c r="AK9" i="37"/>
  <c r="AJ9" i="37"/>
  <c r="AI9" i="37"/>
  <c r="AH9" i="37"/>
  <c r="AG9" i="37"/>
  <c r="AF9" i="37"/>
  <c r="AE9" i="37"/>
  <c r="AD9" i="37"/>
  <c r="AC9" i="37"/>
  <c r="AB9" i="37"/>
  <c r="AA9" i="37"/>
  <c r="Z9" i="37"/>
  <c r="Y9" i="37"/>
  <c r="X9" i="37"/>
  <c r="W9" i="37"/>
  <c r="V9" i="37"/>
  <c r="U9" i="37"/>
  <c r="T9" i="37"/>
  <c r="S9" i="37"/>
  <c r="R9" i="37"/>
  <c r="Q9" i="37"/>
  <c r="P9" i="37"/>
  <c r="O9" i="37"/>
  <c r="N9" i="37"/>
  <c r="M9" i="37"/>
  <c r="L9" i="37"/>
  <c r="K9" i="37"/>
  <c r="H8" i="19" l="1"/>
  <c r="D67" i="42"/>
  <c r="E8" i="19"/>
  <c r="D69" i="42"/>
  <c r="G8" i="19"/>
  <c r="D66" i="42"/>
  <c r="D8" i="19"/>
  <c r="D70" i="42"/>
  <c r="I8" i="19"/>
  <c r="L30" i="37"/>
  <c r="F8" i="19"/>
  <c r="L29" i="37"/>
  <c r="L27" i="37"/>
  <c r="L28" i="37"/>
  <c r="J55" i="19" l="1"/>
  <c r="L55" i="19" s="1"/>
  <c r="J9" i="19"/>
  <c r="J57" i="19"/>
  <c r="L57" i="19" s="1"/>
  <c r="J56" i="19"/>
  <c r="L56" i="19" s="1"/>
  <c r="K37" i="37"/>
  <c r="L31" i="37"/>
  <c r="K38" i="37"/>
  <c r="J49" i="19"/>
  <c r="J39" i="19"/>
  <c r="J30" i="19"/>
  <c r="J21" i="19"/>
  <c r="L21" i="19" s="1"/>
  <c r="J21" i="27" s="1"/>
  <c r="K21" i="27" s="1"/>
  <c r="J11" i="19"/>
  <c r="L11" i="19" s="1"/>
  <c r="J11" i="27" s="1"/>
  <c r="K11" i="27" s="1"/>
  <c r="J35" i="19"/>
  <c r="J34" i="19"/>
  <c r="J15" i="19"/>
  <c r="L15" i="19" s="1"/>
  <c r="J15" i="27" s="1"/>
  <c r="K15" i="27" s="1"/>
  <c r="J42" i="19"/>
  <c r="J23" i="19"/>
  <c r="J41" i="19"/>
  <c r="J47" i="19"/>
  <c r="J38" i="19"/>
  <c r="J29" i="19"/>
  <c r="J20" i="19"/>
  <c r="L20" i="19" s="1"/>
  <c r="J20" i="27" s="1"/>
  <c r="K20" i="27" s="1"/>
  <c r="J10" i="19"/>
  <c r="L10" i="19" s="1"/>
  <c r="J10" i="27" s="1"/>
  <c r="K10" i="27" s="1"/>
  <c r="J36" i="19"/>
  <c r="J18" i="19"/>
  <c r="L18" i="19" s="1"/>
  <c r="J18" i="27" s="1"/>
  <c r="K18" i="27" s="1"/>
  <c r="J54" i="19"/>
  <c r="J26" i="19"/>
  <c r="J53" i="19"/>
  <c r="J25" i="19"/>
  <c r="J31" i="19"/>
  <c r="J12" i="19"/>
  <c r="L12" i="19" s="1"/>
  <c r="J12" i="27" s="1"/>
  <c r="K12" i="27" s="1"/>
  <c r="J46" i="19"/>
  <c r="J37" i="19"/>
  <c r="J28" i="19"/>
  <c r="J19" i="19"/>
  <c r="L19" i="19" s="1"/>
  <c r="J19" i="27" s="1"/>
  <c r="K19" i="27" s="1"/>
  <c r="L9" i="19"/>
  <c r="J9" i="27" s="1"/>
  <c r="K9" i="27" s="1"/>
  <c r="J45" i="19"/>
  <c r="J27" i="19"/>
  <c r="J13" i="19"/>
  <c r="L13" i="19" s="1"/>
  <c r="J13" i="27" s="1"/>
  <c r="K13" i="27" s="1"/>
  <c r="J44" i="19"/>
  <c r="J17" i="19"/>
  <c r="L17" i="19" s="1"/>
  <c r="J17" i="27" s="1"/>
  <c r="K17" i="27" s="1"/>
  <c r="J43" i="19"/>
  <c r="J51" i="19"/>
  <c r="J33" i="19"/>
  <c r="J14" i="19"/>
  <c r="L14" i="19" s="1"/>
  <c r="J14" i="27" s="1"/>
  <c r="K14" i="27" s="1"/>
  <c r="J50" i="19"/>
  <c r="J22" i="19"/>
  <c r="L22" i="19" s="1"/>
  <c r="J22" i="27" s="1"/>
  <c r="K22" i="27" s="1"/>
  <c r="J40" i="19"/>
  <c r="J24" i="19"/>
  <c r="J48" i="19"/>
  <c r="J32" i="19"/>
  <c r="J16" i="19"/>
  <c r="L16" i="19" s="1"/>
  <c r="J16" i="27" s="1"/>
  <c r="K16" i="27" s="1"/>
  <c r="J52" i="19"/>
  <c r="E55" i="19"/>
  <c r="K55" i="27" s="1"/>
  <c r="E56" i="19"/>
  <c r="H41" i="36"/>
  <c r="I41" i="36" s="1"/>
  <c r="H40" i="36"/>
  <c r="K40" i="36" s="1"/>
  <c r="H39" i="36"/>
  <c r="D39" i="36"/>
  <c r="H38" i="36"/>
  <c r="K38" i="36" s="1"/>
  <c r="H37" i="36"/>
  <c r="K37" i="36" s="1"/>
  <c r="H36" i="36"/>
  <c r="K36" i="36" s="1"/>
  <c r="H35" i="36"/>
  <c r="K35" i="36" s="1"/>
  <c r="K22" i="36"/>
  <c r="H20" i="36"/>
  <c r="I20" i="36" s="1"/>
  <c r="E13" i="36"/>
  <c r="F11" i="36"/>
  <c r="F12" i="36" s="1"/>
  <c r="H12" i="36" s="1"/>
  <c r="I12" i="36" s="1"/>
  <c r="E57" i="19" l="1"/>
  <c r="K56" i="27"/>
  <c r="K57" i="27"/>
  <c r="L32" i="19"/>
  <c r="J32" i="27" s="1"/>
  <c r="K32" i="27" s="1"/>
  <c r="L25" i="19"/>
  <c r="J25" i="27" s="1"/>
  <c r="K25" i="27" s="1"/>
  <c r="L29" i="19"/>
  <c r="J29" i="27" s="1"/>
  <c r="K29" i="27" s="1"/>
  <c r="L24" i="19"/>
  <c r="J24" i="27" s="1"/>
  <c r="K24" i="27" s="1"/>
  <c r="L30" i="19"/>
  <c r="J30" i="27" s="1"/>
  <c r="K30" i="27" s="1"/>
  <c r="L31" i="19"/>
  <c r="J31" i="27" s="1"/>
  <c r="K31" i="27" s="1"/>
  <c r="L28" i="19"/>
  <c r="J28" i="27" s="1"/>
  <c r="K28" i="27" s="1"/>
  <c r="L26" i="19"/>
  <c r="J26" i="27" s="1"/>
  <c r="K26" i="27" s="1"/>
  <c r="L23" i="19"/>
  <c r="J23" i="27" s="1"/>
  <c r="K23" i="27" s="1"/>
  <c r="L27" i="19"/>
  <c r="J27" i="27" s="1"/>
  <c r="K27" i="27" s="1"/>
  <c r="L33" i="19"/>
  <c r="J33" i="27" s="1"/>
  <c r="K33" i="27" s="1"/>
  <c r="L34" i="19"/>
  <c r="J34" i="27" s="1"/>
  <c r="K34" i="27" s="1"/>
  <c r="L40" i="19"/>
  <c r="L35" i="19"/>
  <c r="L38" i="19"/>
  <c r="L36" i="19"/>
  <c r="L41" i="19"/>
  <c r="L46" i="19"/>
  <c r="L48" i="19"/>
  <c r="L45" i="19"/>
  <c r="L49" i="19"/>
  <c r="L47" i="19"/>
  <c r="L54" i="19"/>
  <c r="L52" i="19"/>
  <c r="L53" i="19"/>
  <c r="L39" i="19"/>
  <c r="L44" i="19"/>
  <c r="L37" i="19"/>
  <c r="L42" i="19"/>
  <c r="L50" i="19"/>
  <c r="L51" i="19"/>
  <c r="L43" i="19"/>
  <c r="K24" i="36"/>
  <c r="K39" i="36"/>
  <c r="K23" i="36"/>
  <c r="F13" i="36"/>
  <c r="H13" i="36" s="1"/>
  <c r="I13" i="36" s="1"/>
  <c r="H11" i="36"/>
  <c r="I11" i="36" s="1"/>
  <c r="J40" i="27" l="1"/>
  <c r="K40" i="27" s="1"/>
  <c r="K50" i="27"/>
  <c r="J42" i="27"/>
  <c r="K42" i="27" s="1"/>
  <c r="J45" i="27"/>
  <c r="K45" i="27" s="1"/>
  <c r="K48" i="27"/>
  <c r="J39" i="27"/>
  <c r="K39" i="27" s="1"/>
  <c r="J46" i="27"/>
  <c r="K46" i="27" s="1"/>
  <c r="K47" i="27"/>
  <c r="K49" i="27"/>
  <c r="J44" i="27"/>
  <c r="K44" i="27" s="1"/>
  <c r="K53" i="27"/>
  <c r="J41" i="27"/>
  <c r="K41" i="27" s="1"/>
  <c r="J43" i="27"/>
  <c r="K43" i="27" s="1"/>
  <c r="K52" i="27"/>
  <c r="J36" i="27"/>
  <c r="K36" i="27" s="1"/>
  <c r="J35" i="27"/>
  <c r="K35" i="27" s="1"/>
  <c r="J37" i="27"/>
  <c r="K37" i="27" s="1"/>
  <c r="K51" i="27"/>
  <c r="K54" i="27"/>
  <c r="J38" i="27"/>
  <c r="K38" i="27" s="1"/>
  <c r="K31" i="36"/>
  <c r="I31" i="36"/>
  <c r="K117" i="27" l="1"/>
  <c r="I45" i="36"/>
  <c r="E160" i="27" l="1"/>
  <c r="F160" i="27" s="1"/>
  <c r="E159" i="27"/>
  <c r="F159" i="27" s="1"/>
  <c r="E158" i="27"/>
  <c r="F158" i="27" s="1"/>
  <c r="E157" i="27"/>
  <c r="F157" i="27" s="1"/>
  <c r="E156" i="27"/>
  <c r="F156" i="27" s="1"/>
  <c r="E155" i="27"/>
  <c r="F155" i="27" s="1"/>
  <c r="E154" i="27"/>
  <c r="F154" i="27" s="1"/>
  <c r="E153" i="27"/>
  <c r="F153" i="27" s="1"/>
  <c r="E152" i="27"/>
  <c r="F152" i="27" s="1"/>
  <c r="E151" i="27"/>
  <c r="F151" i="27" s="1"/>
  <c r="E150" i="27"/>
  <c r="F150" i="27" s="1"/>
  <c r="E149" i="27"/>
  <c r="F149" i="27" s="1"/>
  <c r="E148" i="27"/>
  <c r="F148" i="27" s="1"/>
  <c r="E147" i="27"/>
  <c r="F147" i="27" s="1"/>
  <c r="E146" i="27"/>
  <c r="F146" i="27" s="1"/>
  <c r="E145" i="27"/>
  <c r="F145" i="27" s="1"/>
  <c r="E144" i="27"/>
  <c r="F144" i="27" s="1"/>
  <c r="E143" i="27"/>
  <c r="F143" i="27" s="1"/>
  <c r="E142" i="27"/>
  <c r="F142" i="27" s="1"/>
  <c r="E141" i="27"/>
  <c r="F141" i="27" s="1"/>
  <c r="E140" i="27"/>
  <c r="E139" i="27"/>
  <c r="E138" i="27"/>
  <c r="E137" i="27"/>
  <c r="E136" i="27"/>
  <c r="E135" i="27"/>
  <c r="E134" i="27"/>
  <c r="E133" i="27"/>
  <c r="E132" i="27"/>
  <c r="E131" i="27"/>
  <c r="E130" i="27"/>
  <c r="E129" i="27"/>
  <c r="E128" i="27"/>
  <c r="E127" i="27"/>
  <c r="E126" i="27"/>
  <c r="E125" i="27"/>
  <c r="E124" i="27"/>
  <c r="E123" i="27"/>
  <c r="E161" i="27"/>
  <c r="F161" i="27" s="1"/>
  <c r="I161" i="27" l="1"/>
  <c r="I158" i="27"/>
  <c r="I157" i="27"/>
  <c r="I156" i="27"/>
  <c r="I155" i="27"/>
  <c r="I154" i="27"/>
  <c r="I153" i="27"/>
  <c r="I152" i="27"/>
  <c r="I151" i="27"/>
  <c r="I150" i="27"/>
  <c r="I149" i="27"/>
  <c r="I148" i="27"/>
  <c r="I147" i="27"/>
  <c r="I146" i="27"/>
  <c r="I145" i="27"/>
  <c r="I144" i="27"/>
  <c r="I143" i="27"/>
  <c r="I142" i="27"/>
  <c r="I141" i="27"/>
  <c r="I140" i="27"/>
  <c r="I139" i="27"/>
  <c r="I138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59" i="27" l="1"/>
  <c r="I160" i="27"/>
  <c r="I164" i="27" l="1"/>
  <c r="F29" i="36" l="1"/>
  <c r="G29" i="36" s="1"/>
  <c r="J29" i="36" s="1"/>
  <c r="J31" i="36" s="1"/>
  <c r="J45" i="36" l="1"/>
  <c r="K42" i="36"/>
  <c r="K45" i="36" s="1"/>
  <c r="J47" i="36" s="1"/>
  <c r="J46" i="36"/>
  <c r="J48" i="36" l="1"/>
  <c r="K47" i="36" l="1"/>
  <c r="K46" i="36"/>
  <c r="K12" i="41" l="1"/>
  <c r="K13" i="41"/>
  <c r="K10" i="41"/>
  <c r="K11" i="41"/>
  <c r="M11" i="41" l="1"/>
  <c r="O11" i="41"/>
  <c r="M13" i="41"/>
  <c r="O13" i="41"/>
  <c r="O10" i="41"/>
  <c r="M10" i="41"/>
  <c r="K7" i="41"/>
  <c r="M12" i="41"/>
  <c r="O12" i="41"/>
  <c r="M7" i="41" l="1"/>
  <c r="O7" i="41"/>
  <c r="H161" i="27"/>
  <c r="H146" i="27" l="1"/>
  <c r="J146" i="27" s="1"/>
  <c r="H141" i="27"/>
  <c r="J141" i="27" s="1"/>
  <c r="H157" i="27"/>
  <c r="J157" i="27" s="1"/>
  <c r="H152" i="27"/>
  <c r="J152" i="27" s="1"/>
  <c r="H154" i="27"/>
  <c r="J154" i="27" s="1"/>
  <c r="H156" i="27"/>
  <c r="J156" i="27" s="1"/>
  <c r="H150" i="27"/>
  <c r="J150" i="27" s="1"/>
  <c r="H148" i="27"/>
  <c r="J148" i="27" s="1"/>
  <c r="H144" i="27"/>
  <c r="H160" i="27"/>
  <c r="H142" i="27"/>
  <c r="H147" i="27"/>
  <c r="H159" i="27"/>
  <c r="H153" i="27"/>
  <c r="H149" i="27"/>
  <c r="H155" i="27"/>
  <c r="H145" i="27"/>
  <c r="H158" i="27"/>
  <c r="H143" i="27"/>
  <c r="H151" i="27"/>
  <c r="J161" i="27"/>
  <c r="J149" i="27" l="1"/>
  <c r="J142" i="27"/>
  <c r="J147" i="27"/>
  <c r="J151" i="27"/>
  <c r="J145" i="27"/>
  <c r="J153" i="27"/>
  <c r="J159" i="27"/>
  <c r="J155" i="27"/>
  <c r="J160" i="27"/>
  <c r="J143" i="27"/>
  <c r="J158" i="27"/>
  <c r="J144" i="27"/>
  <c r="H126" i="27" l="1"/>
  <c r="H138" i="27" l="1"/>
  <c r="H136" i="27"/>
  <c r="F128" i="27"/>
  <c r="H125" i="27"/>
  <c r="F124" i="27"/>
  <c r="H132" i="27"/>
  <c r="F134" i="27"/>
  <c r="H137" i="27"/>
  <c r="F133" i="27"/>
  <c r="F125" i="27"/>
  <c r="F132" i="27"/>
  <c r="F140" i="27"/>
  <c r="H140" i="27"/>
  <c r="F129" i="27"/>
  <c r="F135" i="27"/>
  <c r="F138" i="27"/>
  <c r="H124" i="27"/>
  <c r="F126" i="27"/>
  <c r="J126" i="27" s="1"/>
  <c r="H128" i="27"/>
  <c r="H139" i="27"/>
  <c r="F130" i="27"/>
  <c r="F139" i="27"/>
  <c r="H127" i="27"/>
  <c r="H131" i="27"/>
  <c r="F136" i="27"/>
  <c r="H134" i="27"/>
  <c r="F131" i="27"/>
  <c r="H135" i="27"/>
  <c r="H130" i="27"/>
  <c r="H129" i="27"/>
  <c r="H133" i="27"/>
  <c r="F137" i="27"/>
  <c r="F127" i="27"/>
  <c r="J128" i="27" l="1"/>
  <c r="J138" i="27"/>
  <c r="J140" i="27"/>
  <c r="J131" i="27"/>
  <c r="J135" i="27"/>
  <c r="J125" i="27"/>
  <c r="J137" i="27"/>
  <c r="J136" i="27"/>
  <c r="J134" i="27"/>
  <c r="J124" i="27"/>
  <c r="J130" i="27"/>
  <c r="J127" i="27"/>
  <c r="J139" i="27"/>
  <c r="J129" i="27"/>
  <c r="J132" i="27"/>
  <c r="J133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B63" authorId="0" shapeId="0" xr:uid="{A1582C67-C43A-41BB-B9FC-2228936011E1}">
      <text>
        <r>
          <rPr>
            <b/>
            <sz val="9"/>
            <color indexed="81"/>
            <rFont val="Segoe UI"/>
            <charset val="1"/>
          </rPr>
          <t>Ako jedan član ima veći udio od 70 % nije potrebno raditi analizu.</t>
        </r>
      </text>
    </comment>
    <comment ref="B65" authorId="0" shapeId="0" xr:uid="{0053A47C-0FEC-49AB-B9E8-34E549B722F9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B72" authorId="0" shapeId="0" xr:uid="{AD9C9018-AA3F-41D9-AED6-A3C96095C0BD}">
      <text>
        <r>
          <rPr>
            <b/>
            <sz val="9"/>
            <color indexed="81"/>
            <rFont val="Segoe UI"/>
            <charset val="1"/>
          </rPr>
          <t>Ako glavni ponuditelj ima veće učešće u ppnudi od 70 % nije potrebno radit analizu</t>
        </r>
      </text>
    </comment>
    <comment ref="B143" authorId="0" shapeId="0" xr:uid="{48F6E962-F1FC-4961-BC37-BF7075022F50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C143" authorId="0" shapeId="0" xr:uid="{CE1C430E-E645-4090-B787-F5346C489678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D143" authorId="0" shapeId="0" xr:uid="{77D17BDA-A1B7-459D-A5EB-370B1346C909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B154" authorId="0" shapeId="0" xr:uid="{38827D99-151C-4ABC-859A-DF8D458EE52B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C154" authorId="0" shapeId="0" xr:uid="{10FA9F52-016F-444D-893E-A3B3B5D774A1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D154" authorId="0" shapeId="0" xr:uid="{01805C00-FAD2-41D2-B5C9-620C79B4F97D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B165" authorId="0" shapeId="0" xr:uid="{7703F357-5B36-4578-A57D-ED7CFD02015C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C165" authorId="0" shapeId="0" xr:uid="{452931C7-A6C8-46D6-A6C4-C5492F184F9D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D165" authorId="0" shapeId="0" xr:uid="{5C9FD866-B046-4AAA-B5AE-AA1B0B24CBEE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B176" authorId="0" shapeId="0" xr:uid="{173AAECB-A2AB-43E2-A2B9-4C0E678FF7AB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C176" authorId="0" shapeId="0" xr:uid="{8E22A67A-F4C0-496A-B0B4-C851EFFB4CCB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D176" authorId="0" shapeId="0" xr:uid="{8C464340-FD4B-4E8E-8BDE-674F9BE22A25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B189" authorId="0" shapeId="0" xr:uid="{E25EFC37-841A-4DA0-B143-34A8111D369E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D189" authorId="0" shapeId="0" xr:uid="{1851E314-4A56-439C-8022-94E666EB3A1A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mjesec ponude</t>
        </r>
      </text>
    </comment>
    <comment ref="D190" authorId="0" shapeId="0" xr:uid="{22B8C313-127F-4FBE-9061-13266A1F518E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motorna vozila za mjesec  ponude</t>
        </r>
      </text>
    </comment>
    <comment ref="D191" authorId="0" shapeId="0" xr:uid="{8A0AAD8F-5CE5-4DCA-A630-85FA747A66F0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gorivo za mjesec ponude</t>
        </r>
      </text>
    </comment>
    <comment ref="D192" authorId="0" shapeId="0" xr:uid="{1034B0FC-C3EC-4004-8D7A-FB63BFBE3E5F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financijske troškove za mjesec ponude</t>
        </r>
      </text>
    </comment>
    <comment ref="B194" authorId="0" shapeId="0" xr:uid="{9B40909D-7121-41BF-8433-5469AC1F5624}">
      <text>
        <r>
          <rPr>
            <b/>
            <sz val="9"/>
            <color indexed="81"/>
            <rFont val="Segoe UI"/>
            <family val="2"/>
            <charset val="238"/>
          </rPr>
          <t>Podaci se dobivaju iz analize manjinskog partnera na projektu</t>
        </r>
      </text>
    </comment>
    <comment ref="D194" authorId="0" shapeId="0" xr:uid="{0D5651B6-29B6-4A0D-8517-D8556C2C8752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mjesec početk perioda</t>
        </r>
      </text>
    </comment>
    <comment ref="D195" authorId="0" shapeId="0" xr:uid="{26D03A0E-830B-4F36-8BE9-B3C00E013F60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motorna vozila za mjesec početk perioda</t>
        </r>
      </text>
    </comment>
    <comment ref="D196" authorId="0" shapeId="0" xr:uid="{D00BD948-9DE9-458A-BD69-15C80E2F2B38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gorivo za mjesec početk perioda</t>
        </r>
      </text>
    </comment>
    <comment ref="D197" authorId="0" shapeId="0" xr:uid="{EFB42993-5116-4656-936D-82250A51BC9F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finncijske troškove za mjesec početk perioda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K46" authorId="0" shapeId="0" xr:uid="{EE7BE9B4-5168-44E5-B404-90CF357B92AE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0" shapeId="0" xr:uid="{F678F936-C082-46CA-8C09-49F966E37472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D18" authorId="0" shapeId="0" xr:uid="{92C511A7-1434-45C7-98BC-1F74658DBB6B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K46" authorId="0" shapeId="0" xr:uid="{FDFBA159-4AC8-44AB-AB0A-B28AFDC048E7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0" shapeId="0" xr:uid="{136D33B3-D61D-40ED-8DFE-4919B86EE3F7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D18" authorId="0" shapeId="0" xr:uid="{0D20063C-0935-446B-92FA-3EA0BBDB2316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K46" authorId="0" shapeId="0" xr:uid="{F1828ADC-6FBA-46CB-9E6C-563568E6FE6F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0" shapeId="0" xr:uid="{1CDD6748-D77A-41CE-98D8-A34C3D6FC663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Goran Bosanac</author>
  </authors>
  <commentList>
    <comment ref="C2" authorId="0" shapeId="0" xr:uid="{00000000-0006-0000-0200-000001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Upisati naziv projekta</t>
        </r>
      </text>
    </comment>
    <comment ref="C8" authorId="0" shapeId="0" xr:uid="{00000000-0006-0000-0200-000002000000}">
      <text>
        <r>
          <rPr>
            <sz val="9"/>
            <color rgb="FF000000"/>
            <rFont val="Segoe UI"/>
            <family val="2"/>
            <charset val="1"/>
          </rPr>
          <t>Upisati stručnjaka; FIDIC Inženjer, građevinski nadzor,elektrotehnički nadzor, strojarski nadzor, geotehnički nadzor, geodetski nadzor, koordinator zaštite na radu...</t>
        </r>
      </text>
    </comment>
    <comment ref="C9" authorId="0" shapeId="0" xr:uid="{00000000-0006-0000-0200-000003000000}">
      <text>
        <r>
          <rPr>
            <sz val="9"/>
            <color rgb="FF000000"/>
            <rFont val="Segoe UI"/>
            <family val="2"/>
            <charset val="1"/>
          </rPr>
          <t>Upisati stručnjaka; FIDIC Inženjer, građevinski nadzor,elektrotehnički nadzor, strojarski nadzor, geotehnički nadzor, geodetski nadzor, koordinator zaštite na radu...</t>
        </r>
      </text>
    </comment>
    <comment ref="C10" authorId="0" shapeId="0" xr:uid="{00000000-0006-0000-0200-000004000000}">
      <text>
        <r>
          <rPr>
            <sz val="9"/>
            <color indexed="81"/>
            <rFont val="Segoe UI"/>
            <family val="2"/>
          </rPr>
          <t>Upisati stručnjaka; FIDIC Inženjer, građevinski nadzor,elektrotehnički nadzor, strojarski nadzor, geotehnički nadzor, geodetski nadzor, koordinator zaštite na radu...</t>
        </r>
      </text>
    </comment>
    <comment ref="C11" authorId="0" shapeId="0" xr:uid="{00000000-0006-0000-0200-000005000000}">
      <text>
        <r>
          <rPr>
            <sz val="9"/>
            <color indexed="81"/>
            <rFont val="Segoe UI"/>
            <family val="2"/>
          </rPr>
          <t>Upisati stručnjaka; FIDIC Inženjer, građevinski nadzor,elektrotehnički nadzor, strojarski nadzor, geotehnički nadzor, geodetski nadzor, koordinator zaštite na radu...</t>
        </r>
      </text>
    </comment>
    <comment ref="C12" authorId="0" shapeId="0" xr:uid="{00000000-0006-0000-0200-000006000000}">
      <text>
        <r>
          <rPr>
            <sz val="9"/>
            <color rgb="FF000000"/>
            <rFont val="Segoe UI"/>
            <family val="2"/>
            <charset val="1"/>
          </rPr>
          <t>Upisati stručnjaka; FIDIC Inženjer, građevinski nadzor,elektrotehnički nadzor, strojarski nadzor, geotehnički nadzor, geodetski nadzor, koordinator zaštite na radu...</t>
        </r>
      </text>
    </comment>
    <comment ref="C13" authorId="0" shapeId="0" xr:uid="{00000000-0006-0000-0200-000007000000}">
      <text>
        <r>
          <rPr>
            <sz val="9"/>
            <color indexed="81"/>
            <rFont val="Segoe UI"/>
            <family val="2"/>
          </rPr>
          <t>Upisati stručnjaka; FIDIC Inženjer, građevinski nadzor,elektrotehnički nadzor, strojarski nadzor, geotehnički nadzor, geodetski nadzor, koordinator zaštite na radu...</t>
        </r>
      </text>
    </comment>
    <comment ref="C14" authorId="0" shapeId="0" xr:uid="{00000000-0006-0000-0200-000008000000}">
      <text>
        <r>
          <rPr>
            <sz val="9"/>
            <color rgb="FF000000"/>
            <rFont val="Segoe UI"/>
            <family val="2"/>
            <charset val="1"/>
          </rPr>
          <t>Upisati stručnjaka; FIDIC Inženjer, građevinski nadzor,elektrotehnički nadzor, strojarski nadzor, geotehnički nadzor, geodetski nadzor, koordinator zaštite na radu...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L19" authorId="0" shapeId="0" xr:uid="{45E627AF-2BD8-4A0A-9863-CBF32F53F156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 naveden u koloni A</t>
        </r>
      </text>
    </comment>
    <comment ref="L20" authorId="0" shapeId="0" xr:uid="{AC966A02-DB2A-4F2B-9F6D-DDD6B3D17147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 naveden u koloni A</t>
        </r>
      </text>
    </comment>
    <comment ref="A21" authorId="0" shapeId="0" xr:uid="{331A98BB-4AE7-4956-86B9-AA30F9174207}">
      <text>
        <r>
          <rPr>
            <b/>
            <sz val="9"/>
            <color indexed="81"/>
            <rFont val="Segoe UI"/>
            <family val="2"/>
            <charset val="238"/>
          </rPr>
          <t>unatrag od mjeseca davanja ponude za vrijeme koliko traje projekt odnosno najmanje tri godine</t>
        </r>
      </text>
    </comment>
    <comment ref="L21" authorId="0" shapeId="0" xr:uid="{EC360312-B7E1-4B3A-94D1-0AC39FB5092C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 naveden u koloni A</t>
        </r>
      </text>
    </comment>
    <comment ref="L22" authorId="0" shapeId="0" xr:uid="{14D6492E-52BE-4AC3-93D4-288F864B9F28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 naveden u koloni A</t>
        </r>
      </text>
    </comment>
    <comment ref="L23" authorId="0" shapeId="0" xr:uid="{2D0E30FA-AC71-408A-AA7F-6A7DDBCCCDEA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 naveden u koloni A</t>
        </r>
      </text>
    </comment>
    <comment ref="L24" authorId="0" shapeId="0" xr:uid="{185F4272-848C-4E74-9EAA-1DC2683AFC13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 naveden u koloni A</t>
        </r>
      </text>
    </comment>
    <comment ref="A25" authorId="0" shapeId="0" xr:uid="{13D39462-91A5-48B1-A5B6-3CADA3AB114E}">
      <text>
        <r>
          <rPr>
            <b/>
            <sz val="9"/>
            <color indexed="81"/>
            <rFont val="Segoe UI"/>
            <family val="2"/>
            <charset val="238"/>
          </rPr>
          <t xml:space="preserve"> mjeseca davanja ponude</t>
        </r>
      </text>
    </comment>
    <comment ref="L25" authorId="0" shapeId="0" xr:uid="{B021A864-50AD-45A1-A790-4DEABE62747F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 naveden u koloni A</t>
        </r>
      </text>
    </comment>
    <comment ref="L26" authorId="0" shapeId="0" xr:uid="{065135D2-E20B-4DF8-99E3-694E53DC4DF5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rad za mjese naveden u koloni A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Goran Bosanac</author>
    <author>Branimir Bosanac</author>
  </authors>
  <commentList>
    <comment ref="C2" authorId="0" shapeId="0" xr:uid="{00000000-0006-0000-0500-000001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Upisati naziv projekta</t>
        </r>
      </text>
    </comment>
    <comment ref="F9" authorId="1" shapeId="0" xr:uid="{931AE3B7-509F-4877-8849-AFBA2C4B51D0}">
      <text>
        <r>
          <rPr>
            <b/>
            <sz val="9"/>
            <color indexed="81"/>
            <rFont val="Segoe UI"/>
            <family val="2"/>
            <charset val="238"/>
          </rPr>
          <t xml:space="preserve">indeks iz statističkog niza za rad
</t>
        </r>
      </text>
    </comment>
    <comment ref="G9" authorId="1" shapeId="0" xr:uid="{4E4D8F46-F482-42F0-B3C3-30B7C2D7EDB1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motorna vozila</t>
        </r>
      </text>
    </comment>
    <comment ref="H9" authorId="1" shapeId="0" xr:uid="{7644058A-2B11-4DA1-BF09-341EEA06CA26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gorivo</t>
        </r>
      </text>
    </comment>
    <comment ref="I9" authorId="1" shapeId="0" xr:uid="{768E535E-8622-4B28-8E78-AA7323BF392B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financijske troškove</t>
        </r>
      </text>
    </comment>
    <comment ref="F23" authorId="1" shapeId="0" xr:uid="{1ACFBA9F-47D8-40EE-88F3-E4D03C6F6316}">
      <text>
        <r>
          <rPr>
            <b/>
            <sz val="9"/>
            <color indexed="81"/>
            <rFont val="Segoe UI"/>
            <family val="2"/>
            <charset val="238"/>
          </rPr>
          <t xml:space="preserve">indeks iz statističkog niza za rad
</t>
        </r>
      </text>
    </comment>
    <comment ref="G23" authorId="1" shapeId="0" xr:uid="{CB272ABE-C9CD-4D54-B489-618C0DBCCDE2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motorna vozila</t>
        </r>
      </text>
    </comment>
    <comment ref="H23" authorId="1" shapeId="0" xr:uid="{FD196946-3725-4819-A11C-C18675810AE6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gorivo</t>
        </r>
      </text>
    </comment>
    <comment ref="I23" authorId="1" shapeId="0" xr:uid="{66955052-B74F-4731-B86B-9167DFF152AB}">
      <text>
        <r>
          <rPr>
            <b/>
            <sz val="9"/>
            <color indexed="81"/>
            <rFont val="Segoe UI"/>
            <family val="2"/>
            <charset val="238"/>
          </rPr>
          <t>indeks iz statističkog niza za financijske troškove</t>
        </r>
      </text>
    </comment>
    <comment ref="F55" authorId="0" shapeId="0" xr:uid="{00000000-0006-0000-0500-0000DF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G55" authorId="0" shapeId="0" xr:uid="{00000000-0006-0000-0500-0000E0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H55" authorId="0" shapeId="0" xr:uid="{00000000-0006-0000-0500-0000E1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I55" authorId="0" shapeId="0" xr:uid="{00000000-0006-0000-0500-0000E2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F56" authorId="0" shapeId="0" xr:uid="{00000000-0006-0000-0500-0000E3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G56" authorId="0" shapeId="0" xr:uid="{00000000-0006-0000-0500-0000E4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H56" authorId="0" shapeId="0" xr:uid="{00000000-0006-0000-0500-0000E5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I56" authorId="0" shapeId="0" xr:uid="{00000000-0006-0000-0500-0000E6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poveznica iz statističkih nizova po kategorijama; izvor podataka DZS.</t>
        </r>
      </text>
    </comment>
    <comment ref="F57" authorId="0" shapeId="0" xr:uid="{00000000-0006-0000-0500-0000E7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G57" authorId="0" shapeId="0" xr:uid="{00000000-0006-0000-0500-0000E8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H57" authorId="0" shapeId="0" xr:uid="{00000000-0006-0000-0500-0000E9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  <comment ref="I57" authorId="0" shapeId="0" xr:uid="{00000000-0006-0000-0500-0000EA000000}">
      <text>
        <r>
          <rPr>
            <sz val="9"/>
            <color indexed="81"/>
            <rFont val="Segoe UI"/>
            <family val="2"/>
          </rPr>
          <t xml:space="preserve">
poveznica iz statističkih nizova po kategorijama; izvor podataka DZS.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Goran Bosanac</author>
  </authors>
  <commentList>
    <comment ref="E23" authorId="0" shapeId="0" xr:uid="{00000000-0006-0000-0600-000001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24" authorId="0" shapeId="0" xr:uid="{00000000-0006-0000-0600-000002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25" authorId="0" shapeId="0" xr:uid="{00000000-0006-0000-0600-000003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26" authorId="0" shapeId="0" xr:uid="{00000000-0006-0000-0600-000004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27" authorId="0" shapeId="0" xr:uid="{00000000-0006-0000-0600-000005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28" authorId="0" shapeId="0" xr:uid="{00000000-0006-0000-0600-000006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29" authorId="0" shapeId="0" xr:uid="{00000000-0006-0000-0600-000007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0" authorId="0" shapeId="0" xr:uid="{00000000-0006-0000-0600-000008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1" authorId="0" shapeId="0" xr:uid="{00000000-0006-0000-0600-000009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2" authorId="0" shapeId="0" xr:uid="{00000000-0006-0000-0600-00000A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3" authorId="0" shapeId="0" xr:uid="{00000000-0006-0000-0600-00000B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4" authorId="0" shapeId="0" xr:uid="{00000000-0006-0000-0600-00000C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5" authorId="0" shapeId="0" xr:uid="{00000000-0006-0000-0600-00000D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6" authorId="0" shapeId="0" xr:uid="{00000000-0006-0000-0600-00000E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7" authorId="0" shapeId="0" xr:uid="{00000000-0006-0000-0600-00000F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8" authorId="0" shapeId="0" xr:uid="{00000000-0006-0000-0600-000010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39" authorId="0" shapeId="0" xr:uid="{00000000-0006-0000-0600-000011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0" authorId="0" shapeId="0" xr:uid="{00000000-0006-0000-0600-000012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1" authorId="0" shapeId="0" xr:uid="{00000000-0006-0000-0600-000013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2" authorId="0" shapeId="0" xr:uid="{00000000-0006-0000-0600-000014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3" authorId="0" shapeId="0" xr:uid="{00000000-0006-0000-0600-000015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4" authorId="0" shapeId="0" xr:uid="{00000000-0006-0000-0600-000016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5" authorId="0" shapeId="0" xr:uid="{00000000-0006-0000-0600-000017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6" authorId="0" shapeId="0" xr:uid="{00000000-0006-0000-0600-000018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7" authorId="0" shapeId="0" xr:uid="{00000000-0006-0000-0600-000019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8" authorId="0" shapeId="0" xr:uid="{00000000-0006-0000-0600-00001A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49" authorId="0" shapeId="0" xr:uid="{00000000-0006-0000-0600-00001B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50" authorId="0" shapeId="0" xr:uid="{00000000-0006-0000-0600-00001C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51" authorId="0" shapeId="0" xr:uid="{00000000-0006-0000-0600-00001D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52" authorId="0" shapeId="0" xr:uid="{00000000-0006-0000-0600-00001E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53" authorId="0" shapeId="0" xr:uid="{00000000-0006-0000-0600-00001F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54" authorId="0" shapeId="0" xr:uid="{00000000-0006-0000-0600-000020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55" authorId="0" shapeId="0" xr:uid="{00000000-0006-0000-0600-000021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56" authorId="0" shapeId="0" xr:uid="{00000000-0006-0000-0600-000022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  <comment ref="E57" authorId="0" shapeId="0" xr:uid="{00000000-0006-0000-0600-000023000000}">
      <text>
        <r>
          <rPr>
            <sz val="9"/>
            <color indexed="81"/>
            <rFont val="Segoe UI"/>
            <family val="2"/>
          </rPr>
          <t xml:space="preserve">
poveznica iz Obrasca 6.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Goran Bosanac</author>
  </authors>
  <commentList>
    <comment ref="B5" authorId="0" shapeId="0" xr:uid="{00000000-0006-0000-0100-000001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Vozilo - upisati marku vozila</t>
        </r>
      </text>
    </comment>
    <comment ref="D6" authorId="0" shapeId="0" xr:uid="{00000000-0006-0000-0100-000002000000}">
      <text>
        <r>
          <rPr>
            <sz val="9"/>
            <color indexed="81"/>
            <rFont val="Segoe UI"/>
            <family val="2"/>
          </rPr>
          <t xml:space="preserve">
dnevno prijeđeni kilometri x broj radnih dana u godini; poveznica iz podanalize stručnjaka</t>
        </r>
      </text>
    </comment>
    <comment ref="G6" authorId="0" shapeId="0" xr:uid="{00000000-0006-0000-0100-000003000000}">
      <text>
        <r>
          <rPr>
            <sz val="9"/>
            <color indexed="81"/>
            <rFont val="Segoe UI"/>
            <family val="2"/>
          </rPr>
          <t xml:space="preserve">
trošak nabavne cijene vozila po mjesecu</t>
        </r>
      </text>
    </comment>
    <comment ref="F11" authorId="0" shapeId="0" xr:uid="{00000000-0006-0000-0100-000005000000}">
      <text>
        <r>
          <rPr>
            <sz val="9"/>
            <color rgb="FF000000"/>
            <rFont val="Segoe UI"/>
            <family val="2"/>
            <charset val="1"/>
          </rPr>
          <t xml:space="preserve">mjesečni fond kilometara 
</t>
        </r>
      </text>
    </comment>
    <comment ref="G17" authorId="0" shapeId="0" xr:uid="{00000000-0006-0000-0100-00000B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Ukupne obveze po kilometru</t>
        </r>
      </text>
    </comment>
    <comment ref="H17" authorId="0" shapeId="0" xr:uid="{00000000-0006-0000-0100-00000C000000}">
      <text>
        <r>
          <rPr>
            <b/>
            <sz val="9"/>
            <color indexed="81"/>
            <rFont val="Segoe UI"/>
            <family val="2"/>
          </rPr>
          <t>Goran Bosanac:</t>
        </r>
        <r>
          <rPr>
            <sz val="9"/>
            <color indexed="81"/>
            <rFont val="Segoe UI"/>
            <family val="2"/>
          </rPr>
          <t xml:space="preserve">
Udio obveza u cijeni kilometra rada vozila </t>
        </r>
      </text>
    </comment>
    <comment ref="G22" authorId="0" shapeId="0" xr:uid="{00000000-0006-0000-0100-00000F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trošak goriva po kilometru</t>
        </r>
      </text>
    </comment>
    <comment ref="G23" authorId="0" shapeId="0" xr:uid="{00000000-0006-0000-0100-000012000000}">
      <text>
        <r>
          <rPr>
            <sz val="9"/>
            <color indexed="81"/>
            <rFont val="Segoe UI"/>
            <family val="2"/>
          </rPr>
          <t xml:space="preserve">
trošak aditiva po kilometru</t>
        </r>
      </text>
    </comment>
    <comment ref="E25" authorId="0" shapeId="0" xr:uid="{00000000-0006-0000-0100-000013000000}">
      <text>
        <r>
          <rPr>
            <sz val="9"/>
            <color indexed="81"/>
            <rFont val="Segoe UI"/>
            <family val="2"/>
          </rPr>
          <t xml:space="preserve">
godišnji iznos / HRK</t>
        </r>
      </text>
    </comment>
    <comment ref="F25" authorId="0" shapeId="0" xr:uid="{00000000-0006-0000-0100-000014000000}">
      <text>
        <r>
          <rPr>
            <sz val="9"/>
            <color indexed="81"/>
            <rFont val="Segoe UI"/>
            <family val="2"/>
          </rPr>
          <t>sevisni interval u kilometrima</t>
        </r>
      </text>
    </comment>
    <comment ref="G25" authorId="0" shapeId="0" xr:uid="{00000000-0006-0000-0100-000015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trošak servisa po kilometru</t>
        </r>
      </text>
    </comment>
    <comment ref="F26" authorId="0" shapeId="0" xr:uid="{00000000-0006-0000-0100-000017000000}">
      <text>
        <r>
          <rPr>
            <sz val="9"/>
            <color indexed="81"/>
            <rFont val="Segoe UI"/>
            <family val="2"/>
          </rPr>
          <t>broj kilometara po kompletu guma</t>
        </r>
      </text>
    </comment>
    <comment ref="G26" authorId="0" shapeId="0" xr:uid="{00000000-0006-0000-0100-000018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trošak vulkanizera po kilometru</t>
        </r>
      </text>
    </comment>
    <comment ref="C27" authorId="0" shapeId="0" xr:uid="{00000000-0006-0000-0100-000019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interval amortizacije guma u kilometrima</t>
        </r>
      </text>
    </comment>
    <comment ref="E27" authorId="0" shapeId="0" xr:uid="{00000000-0006-0000-0100-00001A000000}">
      <text>
        <r>
          <rPr>
            <sz val="9"/>
            <color indexed="81"/>
            <rFont val="Segoe UI"/>
            <family val="2"/>
          </rPr>
          <t xml:space="preserve">
godišnji iznos / HRK</t>
        </r>
      </text>
    </comment>
    <comment ref="F27" authorId="0" shapeId="0" xr:uid="{00000000-0006-0000-0100-00001B000000}">
      <text>
        <r>
          <rPr>
            <sz val="9"/>
            <color indexed="81"/>
            <rFont val="Segoe UI"/>
            <family val="2"/>
            <charset val="238"/>
          </rPr>
          <t>broj kilometara po kompletu guma</t>
        </r>
      </text>
    </comment>
    <comment ref="G27" authorId="0" shapeId="0" xr:uid="{00000000-0006-0000-0100-00001C000000}">
      <text>
        <r>
          <rPr>
            <sz val="9"/>
            <color indexed="81"/>
            <rFont val="Segoe UI"/>
            <family val="2"/>
          </rPr>
          <t xml:space="preserve">
trošak autoguma
po kilometru</t>
        </r>
      </text>
    </comment>
    <comment ref="G28" authorId="0" shapeId="0" xr:uid="{00000000-0006-0000-0100-00001D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Ukupno pogonski troškovi</t>
        </r>
      </text>
    </comment>
    <comment ref="H28" authorId="0" shapeId="0" xr:uid="{00000000-0006-0000-0100-00001E000000}">
      <text>
        <r>
          <rPr>
            <b/>
            <sz val="9"/>
            <color rgb="FF000000"/>
            <rFont val="Segoe UI"/>
            <family val="2"/>
            <charset val="1"/>
          </rPr>
          <t>Goran Bosanac: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 xml:space="preserve">Udio pogonskih troškova u cijeni kilometra rada vozila </t>
        </r>
      </text>
    </comment>
    <comment ref="G30" authorId="0" shapeId="0" xr:uid="{00000000-0006-0000-0100-00001F000000}">
      <text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Ukupni trošak po kilometru rada vozila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Goran Bosanac</author>
    <author>Branimir Bosanac</author>
  </authors>
  <commentList>
    <comment ref="G12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
Po internom Pravilniku o radu tvrtke</t>
        </r>
      </text>
    </comment>
    <comment ref="F13" authorId="1" shapeId="0" xr:uid="{00000000-0006-0000-0000-000002000000}">
      <text>
        <r>
          <rPr>
            <b/>
            <sz val="9"/>
            <color indexed="81"/>
            <rFont val="Segoe UI"/>
            <family val="2"/>
            <charset val="238"/>
          </rPr>
          <t xml:space="preserve">ukupan broj dana godišnjeg odmora /godišnji fond dana rada bez praznika i godišnjeg odmora pomnožen s prosiječnom cijenom po danu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13" authorId="0" shapeId="0" xr:uid="{00000000-0006-0000-0000-000003000000}">
      <text>
        <r>
          <rPr>
            <sz val="9"/>
            <color indexed="81"/>
            <rFont val="Segoe UI"/>
            <family val="2"/>
          </rPr>
          <t xml:space="preserve">
Po internom Pravilniku o radu tvrtke</t>
        </r>
      </text>
    </comment>
    <comment ref="F15" authorId="1" shapeId="0" xr:uid="{00000000-0006-0000-0000-000004000000}">
      <text>
        <r>
          <rPr>
            <sz val="9"/>
            <color rgb="FF000000"/>
            <rFont val="Segoe UI"/>
            <family val="2"/>
            <charset val="238"/>
          </rPr>
          <t xml:space="preserve">broj prekovremenih sati mjesečno /mjesečnim fondom sati pomnoženo prosječnom cjenom po danu
</t>
        </r>
      </text>
    </comment>
    <comment ref="G15" authorId="0" shapeId="0" xr:uid="{00000000-0006-0000-0000-000005000000}">
      <text>
        <r>
          <rPr>
            <sz val="9"/>
            <color indexed="81"/>
            <rFont val="Segoe UI"/>
            <family val="2"/>
          </rPr>
          <t xml:space="preserve">
Po internom Pravilniku o radu tvrtke</t>
        </r>
      </text>
    </comment>
    <comment ref="D17" authorId="1" shapeId="0" xr:uid="{00000000-0006-0000-0000-000006000000}">
      <text>
        <r>
          <rPr>
            <sz val="9"/>
            <color rgb="FF000000"/>
            <rFont val="Segoe UI"/>
            <family val="2"/>
            <charset val="238"/>
          </rPr>
          <t xml:space="preserve">mjesečni trošak prehrane akio se isplaćuje
</t>
        </r>
      </text>
    </comment>
    <comment ref="E17" authorId="1" shapeId="0" xr:uid="{00000000-0006-0000-0000-000007000000}">
      <text>
        <r>
          <rPr>
            <sz val="9"/>
            <color rgb="FF000000"/>
            <rFont val="Segoe UI"/>
            <family val="2"/>
            <charset val="238"/>
          </rPr>
          <t>mjesečni broj sati</t>
        </r>
      </text>
    </comment>
    <comment ref="G17" authorId="0" shapeId="0" xr:uid="{00000000-0006-0000-0000-000008000000}">
      <text>
        <r>
          <rPr>
            <sz val="9"/>
            <color indexed="81"/>
            <rFont val="Segoe UI"/>
            <family val="2"/>
          </rPr>
          <t xml:space="preserve">
Po internom Pravilniku o radu tvrtke</t>
        </r>
      </text>
    </comment>
    <comment ref="D18" authorId="1" shapeId="0" xr:uid="{00000000-0006-0000-0000-000009000000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E18" authorId="1" shapeId="0" xr:uid="{00000000-0006-0000-0000-00000A000000}">
      <text>
        <r>
          <rPr>
            <sz val="9"/>
            <color indexed="81"/>
            <rFont val="Segoe UI"/>
            <family val="2"/>
            <charset val="238"/>
          </rPr>
          <t>mjesečni broj sati</t>
        </r>
      </text>
    </comment>
    <comment ref="G18" authorId="0" shapeId="0" xr:uid="{00000000-0006-0000-0000-00000B000000}">
      <text>
        <r>
          <rPr>
            <sz val="9"/>
            <color indexed="81"/>
            <rFont val="Segoe UI"/>
            <family val="2"/>
          </rPr>
          <t xml:space="preserve">
Po internom Pravilniku o radu tvrtke</t>
        </r>
      </text>
    </comment>
    <comment ref="G19" authorId="0" shapeId="0" xr:uid="{00000000-0006-0000-0000-00000C000000}">
      <text>
        <r>
          <rPr>
            <sz val="9"/>
            <color indexed="81"/>
            <rFont val="Segoe UI"/>
            <family val="2"/>
          </rPr>
          <t xml:space="preserve">
Po internom Pravilniku o radu tvrtke</t>
        </r>
      </text>
    </comment>
    <comment ref="G20" authorId="0" shapeId="0" xr:uid="{00000000-0006-0000-0000-00000D000000}">
      <text>
        <r>
          <rPr>
            <sz val="9"/>
            <color indexed="81"/>
            <rFont val="Segoe UI"/>
            <family val="2"/>
          </rPr>
          <t xml:space="preserve">
Po internom Pravilniku o radu tvrtke</t>
        </r>
      </text>
    </comment>
    <comment ref="G22" authorId="0" shapeId="0" xr:uid="{00000000-0006-0000-0000-00000E000000}">
      <text>
        <r>
          <rPr>
            <sz val="9"/>
            <color indexed="81"/>
            <rFont val="Segoe UI"/>
            <family val="2"/>
          </rPr>
          <t xml:space="preserve">
Po internom Pravilniku o radu tvrtke</t>
        </r>
      </text>
    </comment>
    <comment ref="K46" authorId="1" shapeId="0" xr:uid="{00000000-0006-0000-0000-000015000000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1" shapeId="0" xr:uid="{00000000-0006-0000-0000-000016000000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D18" authorId="0" shapeId="0" xr:uid="{70779CB1-F693-403D-AEFA-2447999414FB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K46" authorId="0" shapeId="0" xr:uid="{23ED426C-1A7C-4049-9781-1CFE3120FE35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0" shapeId="0" xr:uid="{3FC16C76-6809-4555-93A3-D28D32E6E197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D18" authorId="0" shapeId="0" xr:uid="{9268D603-FDBA-4C92-9D00-1DDD835D99B9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C28" authorId="0" shapeId="0" xr:uid="{15F3FC98-7FB4-43B5-9118-0FD5AC051C0C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K46" authorId="0" shapeId="0" xr:uid="{BD7558F6-A1EC-431B-8869-BDC5D2BCE066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0" shapeId="0" xr:uid="{212D79F6-BEF6-4D35-A033-010186AFCAA3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D18" authorId="0" shapeId="0" xr:uid="{B95A378D-D7D2-49B7-91E6-DBC06C1B6044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K46" authorId="0" shapeId="0" xr:uid="{25570289-79BE-4403-8F64-125E06838FED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0" shapeId="0" xr:uid="{5E71F0A5-9E97-4FC6-8101-20C32F1027B0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D18" authorId="0" shapeId="0" xr:uid="{7C0BAC84-C663-40DB-AFA6-5F9A1FDBE285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K46" authorId="0" shapeId="0" xr:uid="{F60DEEDC-705B-432E-A9F1-7DB48C253320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0" shapeId="0" xr:uid="{7A2CCE49-1306-49EA-8224-8341F6FE3652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D18" authorId="0" shapeId="0" xr:uid="{723B3D2B-B73E-4A55-A0D0-A96FC83FD349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K46" authorId="0" shapeId="0" xr:uid="{C81F7A92-61D7-44B2-8D6C-368D65783DAD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0" shapeId="0" xr:uid="{39ADB925-E6B5-4BAD-BAB0-5AD4C0953E25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Branimir Bosanac</author>
  </authors>
  <commentList>
    <comment ref="D18" authorId="0" shapeId="0" xr:uid="{58B19CFB-7C40-4C2E-8A4B-8F05617D4CBC}">
      <text>
        <r>
          <rPr>
            <sz val="9"/>
            <color indexed="81"/>
            <rFont val="Segoe UI"/>
            <family val="2"/>
            <charset val="238"/>
          </rPr>
          <t xml:space="preserve">mjesečni trošak prijevoza akio se isplaćuje
</t>
        </r>
      </text>
    </comment>
    <comment ref="K46" authorId="0" shapeId="0" xr:uid="{68527398-1FA7-4B98-BC2F-12B4C4C71AAC}">
      <text>
        <r>
          <rPr>
            <b/>
            <sz val="9"/>
            <color indexed="81"/>
            <rFont val="Segoe UI"/>
            <family val="2"/>
            <charset val="238"/>
          </rPr>
          <t>postotak od ukupne cijene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47" authorId="0" shapeId="0" xr:uid="{EF6EF43B-EBD8-40D6-90C4-50381B515474}">
      <text>
        <r>
          <rPr>
            <b/>
            <sz val="9"/>
            <color rgb="FF000000"/>
            <rFont val="Segoe UI"/>
            <family val="2"/>
            <charset val="238"/>
          </rPr>
          <t>postotak od ukupne cijene</t>
        </r>
      </text>
    </comment>
  </commentList>
</comments>
</file>

<file path=xl/sharedStrings.xml><?xml version="1.0" encoding="utf-8"?>
<sst xmlns="http://schemas.openxmlformats.org/spreadsheetml/2006/main" count="1779" uniqueCount="640">
  <si>
    <t>OPIS STAVKE</t>
  </si>
  <si>
    <t>Količina</t>
  </si>
  <si>
    <t>ELEMENTI CIJENE</t>
  </si>
  <si>
    <t>IZNOS</t>
  </si>
  <si>
    <t>RAD</t>
  </si>
  <si>
    <t>2.</t>
  </si>
  <si>
    <t>3.</t>
  </si>
  <si>
    <t>1.</t>
  </si>
  <si>
    <t>dan</t>
  </si>
  <si>
    <t>Geotehnički nadzor</t>
  </si>
  <si>
    <t>Opis</t>
  </si>
  <si>
    <t>Mjera</t>
  </si>
  <si>
    <t>Kilometar</t>
  </si>
  <si>
    <t>Godišnji fond kilometara</t>
  </si>
  <si>
    <t>Obveze</t>
  </si>
  <si>
    <t>Jedinica mjere</t>
  </si>
  <si>
    <t>Iznos HRK/km</t>
  </si>
  <si>
    <t>mjesec</t>
  </si>
  <si>
    <t>godina</t>
  </si>
  <si>
    <t>GPS usluge</t>
  </si>
  <si>
    <t>Pogonski troškovi</t>
  </si>
  <si>
    <t>JM</t>
  </si>
  <si>
    <t>L/km</t>
  </si>
  <si>
    <t>Ad Blue aditiv</t>
  </si>
  <si>
    <t>Ukupni troškovi rada / HRK</t>
  </si>
  <si>
    <t>Prosječna cijena po danu / HRK</t>
  </si>
  <si>
    <t xml:space="preserve">Broj radnih sati </t>
  </si>
  <si>
    <t>Koeficjent  za stručnjaka</t>
  </si>
  <si>
    <t>Bruto cijena po danu / HRK</t>
  </si>
  <si>
    <t>TROŠKOVI RADA</t>
  </si>
  <si>
    <t>OSTALI TROŠKOVI</t>
  </si>
  <si>
    <t>Osobno vozilo - Golf GTI 1.6</t>
  </si>
  <si>
    <t xml:space="preserve">Obračun putnih troškova - dnevnica (200 HRK / 2) </t>
  </si>
  <si>
    <t>Obračun putnih troškova - prijevoznih troškova</t>
  </si>
  <si>
    <t>Prijeđeni kilometri / km</t>
  </si>
  <si>
    <t>HRK / km</t>
  </si>
  <si>
    <t>Svota za prijevoz / HRK</t>
  </si>
  <si>
    <t>Strukovno obrazovanje</t>
  </si>
  <si>
    <t>Materijalni troškovi</t>
  </si>
  <si>
    <t>Komunalni troškovi</t>
  </si>
  <si>
    <t>Oprema</t>
  </si>
  <si>
    <t>Financijski troškovi (bankovne garancije, troškovi osiguranja linije kredita...)</t>
  </si>
  <si>
    <t>UKUPAN IZNOS ZA JEDINICU MJERE</t>
  </si>
  <si>
    <t>TROŠKOVI USLUGA</t>
  </si>
  <si>
    <t>Godišnja vrijednost</t>
  </si>
  <si>
    <t>Prijevoz</t>
  </si>
  <si>
    <t>Broj stručnjaka</t>
  </si>
  <si>
    <t xml:space="preserve"> Broj radnih dana u godini </t>
  </si>
  <si>
    <t>* broj stručnjaka se dobiva da se broj sati podjeli s brojem radnih dana i oduzmu broj osoba iz uprave</t>
  </si>
  <si>
    <t>motorna vozila</t>
  </si>
  <si>
    <t>Članarine</t>
  </si>
  <si>
    <t>Projekt:</t>
  </si>
  <si>
    <t>Izračun koeficijenta promijene cijene</t>
  </si>
  <si>
    <t>Stručnjaci</t>
  </si>
  <si>
    <t>Jedinična cijena/dan na dan ponude*</t>
  </si>
  <si>
    <t>Jedinična cijena/dan na dan početka usluge**</t>
  </si>
  <si>
    <t>Omjer ponuđene cijene i cijene na dan početka 11/2021</t>
  </si>
  <si>
    <t>Jedinična cijena/dan na  11/2022***</t>
  </si>
  <si>
    <t>Omjer ponuđene cijene i cijene na dan početka 11/2022</t>
  </si>
  <si>
    <t>4=2*3</t>
  </si>
  <si>
    <t>4=3/2</t>
  </si>
  <si>
    <t>6=5/2</t>
  </si>
  <si>
    <t>Građevinski radovi</t>
  </si>
  <si>
    <t>Električarski</t>
  </si>
  <si>
    <t>Geotehničar</t>
  </si>
  <si>
    <t>Ukupno:</t>
  </si>
  <si>
    <t>Koeficijent projekta</t>
  </si>
  <si>
    <t>DZS keoficijent</t>
  </si>
  <si>
    <t>* cijene su analizirane u PRILOGU 1 - analiza ponuđenih cijena usluge</t>
  </si>
  <si>
    <t>** cijene su analizirane u PRILOGU 2 - analiza cijena usluge na početku projekta 11-2021</t>
  </si>
  <si>
    <t>*** cijene su analizirane u PRILOGU 3 - analiza cijene usluga na 11-2022</t>
  </si>
  <si>
    <t>gorivo</t>
  </si>
  <si>
    <t>Izračun razlike u cijeni na projektu (putem formule klizne skale)</t>
  </si>
  <si>
    <t>Razdoblje</t>
  </si>
  <si>
    <t>koeficijent korekcije</t>
  </si>
  <si>
    <t>Usluga nadzora korigirana</t>
  </si>
  <si>
    <t>Usluga kontrolnih ispitivanja</t>
  </si>
  <si>
    <t>Korigirana vrijednost kon. Isp.</t>
  </si>
  <si>
    <t>Ukupna vrijednost situirana</t>
  </si>
  <si>
    <t>Ukupna vrijednost korigirana</t>
  </si>
  <si>
    <t>bazni</t>
  </si>
  <si>
    <t>11-2021</t>
  </si>
  <si>
    <t>12-2021</t>
  </si>
  <si>
    <t>01-2022</t>
  </si>
  <si>
    <t>02-2022</t>
  </si>
  <si>
    <t>03-2022</t>
  </si>
  <si>
    <t>04-2022</t>
  </si>
  <si>
    <t>05-2022</t>
  </si>
  <si>
    <t>06-2022</t>
  </si>
  <si>
    <t>07-2022</t>
  </si>
  <si>
    <t>08-2022</t>
  </si>
  <si>
    <t>09-2022</t>
  </si>
  <si>
    <t>10-2022</t>
  </si>
  <si>
    <t>11-2022</t>
  </si>
  <si>
    <t>12-2022</t>
  </si>
  <si>
    <t>01-2023</t>
  </si>
  <si>
    <t>02-2023</t>
  </si>
  <si>
    <t>03-2023</t>
  </si>
  <si>
    <t>04-2023</t>
  </si>
  <si>
    <t>05-2023</t>
  </si>
  <si>
    <t>06-2023</t>
  </si>
  <si>
    <t>UKUPNO</t>
  </si>
  <si>
    <t>Izračun razlike u cijeni na projektu (putem praćenja troškova života; izvor podataka DZS)</t>
  </si>
  <si>
    <t>06-2020</t>
  </si>
  <si>
    <t>07-2020</t>
  </si>
  <si>
    <t>08-2020</t>
  </si>
  <si>
    <t>09-2020</t>
  </si>
  <si>
    <t>10-2020</t>
  </si>
  <si>
    <t>11-2020</t>
  </si>
  <si>
    <t>12-2020</t>
  </si>
  <si>
    <t>01-2021</t>
  </si>
  <si>
    <t>02-2021</t>
  </si>
  <si>
    <t>03-2021</t>
  </si>
  <si>
    <t>04-2021</t>
  </si>
  <si>
    <t>05-2021</t>
  </si>
  <si>
    <t>07-2021</t>
  </si>
  <si>
    <t>08-2021</t>
  </si>
  <si>
    <t>09-2021</t>
  </si>
  <si>
    <t>10-2021</t>
  </si>
  <si>
    <t>06-2021</t>
  </si>
  <si>
    <t>* bazni indeksi</t>
  </si>
  <si>
    <t>Tehnički pregled i registracija*</t>
  </si>
  <si>
    <t>Gume za osobna vozila*</t>
  </si>
  <si>
    <t>Ø 2015.</t>
  </si>
  <si>
    <t>Ø 2016.</t>
  </si>
  <si>
    <t>Ø 2017.</t>
  </si>
  <si>
    <t>Ø 2018.</t>
  </si>
  <si>
    <t>Ø 2019.</t>
  </si>
  <si>
    <t>Ø 2020.</t>
  </si>
  <si>
    <t>Ø 2021.</t>
  </si>
  <si>
    <t>Ø 2022.</t>
  </si>
  <si>
    <t xml:space="preserve">I.   2015. </t>
  </si>
  <si>
    <t xml:space="preserve">II.  2015. </t>
  </si>
  <si>
    <t xml:space="preserve">III.  2015. </t>
  </si>
  <si>
    <t>IV. 2015.</t>
  </si>
  <si>
    <t xml:space="preserve">V.  2015. </t>
  </si>
  <si>
    <t xml:space="preserve">VI. 2015. </t>
  </si>
  <si>
    <t xml:space="preserve">VII. 2015. </t>
  </si>
  <si>
    <t xml:space="preserve">VIII. 2015. </t>
  </si>
  <si>
    <t>IX. 2015.</t>
  </si>
  <si>
    <t xml:space="preserve">X.  2015. </t>
  </si>
  <si>
    <t xml:space="preserve">XI. 2015. </t>
  </si>
  <si>
    <t xml:space="preserve">XII. 2015. </t>
  </si>
  <si>
    <t xml:space="preserve">I.   2016. </t>
  </si>
  <si>
    <t xml:space="preserve">II.  2016. </t>
  </si>
  <si>
    <t xml:space="preserve">III.  2016. </t>
  </si>
  <si>
    <t xml:space="preserve">IV. 2016. </t>
  </si>
  <si>
    <t xml:space="preserve">V.  2016. </t>
  </si>
  <si>
    <t xml:space="preserve">VI. 2016. </t>
  </si>
  <si>
    <t xml:space="preserve">VII. 2016. </t>
  </si>
  <si>
    <t xml:space="preserve">VIII. 2016. </t>
  </si>
  <si>
    <t xml:space="preserve">IX. 2016. </t>
  </si>
  <si>
    <t xml:space="preserve">X.  2016. </t>
  </si>
  <si>
    <t xml:space="preserve">XI. 2016. </t>
  </si>
  <si>
    <t xml:space="preserve">XII. 2016. </t>
  </si>
  <si>
    <t xml:space="preserve">I.   2017. </t>
  </si>
  <si>
    <t xml:space="preserve">II.  2017. </t>
  </si>
  <si>
    <t xml:space="preserve">III.  2017. </t>
  </si>
  <si>
    <t xml:space="preserve">IV. 2017. </t>
  </si>
  <si>
    <t xml:space="preserve">V.  2017. </t>
  </si>
  <si>
    <t xml:space="preserve">VI. 2017. </t>
  </si>
  <si>
    <t xml:space="preserve">VII. 2017. </t>
  </si>
  <si>
    <t xml:space="preserve">VIII. 2017. </t>
  </si>
  <si>
    <t xml:space="preserve">IX. 2017. </t>
  </si>
  <si>
    <t xml:space="preserve">X.  2017. </t>
  </si>
  <si>
    <t xml:space="preserve">XI. 2017. </t>
  </si>
  <si>
    <t xml:space="preserve">XII. 2017. </t>
  </si>
  <si>
    <t xml:space="preserve">I.   2018. </t>
  </si>
  <si>
    <t xml:space="preserve">II.  2018. </t>
  </si>
  <si>
    <t xml:space="preserve">III.  2018. </t>
  </si>
  <si>
    <t xml:space="preserve">IV. 2018. </t>
  </si>
  <si>
    <t xml:space="preserve">V.  2018. </t>
  </si>
  <si>
    <t xml:space="preserve">VI. 2018. </t>
  </si>
  <si>
    <t xml:space="preserve">VII. 2018. </t>
  </si>
  <si>
    <t xml:space="preserve">VIII. 2018. </t>
  </si>
  <si>
    <t xml:space="preserve">IX. 2018. </t>
  </si>
  <si>
    <t xml:space="preserve">X.  2018. </t>
  </si>
  <si>
    <t xml:space="preserve">XI. 2018. </t>
  </si>
  <si>
    <t xml:space="preserve">XII. 2018. </t>
  </si>
  <si>
    <t xml:space="preserve">I.   2019. </t>
  </si>
  <si>
    <t xml:space="preserve">II.  2019. </t>
  </si>
  <si>
    <t xml:space="preserve">III.  2019. </t>
  </si>
  <si>
    <t xml:space="preserve">IV.  2019. </t>
  </si>
  <si>
    <t xml:space="preserve">V.  2019. </t>
  </si>
  <si>
    <t xml:space="preserve">VI.  2019. </t>
  </si>
  <si>
    <t xml:space="preserve">VII.  2019. </t>
  </si>
  <si>
    <t xml:space="preserve">VIII.  2019. </t>
  </si>
  <si>
    <t xml:space="preserve">IX. 2019. </t>
  </si>
  <si>
    <t xml:space="preserve">X.  2019. </t>
  </si>
  <si>
    <t xml:space="preserve">XI. 2019. </t>
  </si>
  <si>
    <t xml:space="preserve">XII. 2019. </t>
  </si>
  <si>
    <t xml:space="preserve">I.   2020. </t>
  </si>
  <si>
    <t xml:space="preserve">II.  2020. </t>
  </si>
  <si>
    <t xml:space="preserve">III.  2020. </t>
  </si>
  <si>
    <t xml:space="preserve">IV.  2020. </t>
  </si>
  <si>
    <t xml:space="preserve">V.  2020. </t>
  </si>
  <si>
    <t xml:space="preserve">VI.  2020. </t>
  </si>
  <si>
    <t xml:space="preserve">VII.  2020. </t>
  </si>
  <si>
    <t xml:space="preserve">VIII.  2020. </t>
  </si>
  <si>
    <t xml:space="preserve">IX.  2020. </t>
  </si>
  <si>
    <t xml:space="preserve">X.  2020. </t>
  </si>
  <si>
    <t xml:space="preserve">XI.  2020. </t>
  </si>
  <si>
    <t xml:space="preserve">XII.  2020. </t>
  </si>
  <si>
    <t xml:space="preserve">I.   2021. </t>
  </si>
  <si>
    <t xml:space="preserve">II.  2021. </t>
  </si>
  <si>
    <t xml:space="preserve">III.  2021. </t>
  </si>
  <si>
    <t xml:space="preserve">IV.  2021. </t>
  </si>
  <si>
    <t xml:space="preserve">V.  2021. </t>
  </si>
  <si>
    <t xml:space="preserve">VI.  2021. </t>
  </si>
  <si>
    <t xml:space="preserve">VII.  2021. </t>
  </si>
  <si>
    <t xml:space="preserve">VIII.  2021. </t>
  </si>
  <si>
    <t xml:space="preserve">IX.  2021. </t>
  </si>
  <si>
    <t xml:space="preserve">X.  2021. </t>
  </si>
  <si>
    <t xml:space="preserve">XI.  2021. </t>
  </si>
  <si>
    <t xml:space="preserve">XII.  2021. </t>
  </si>
  <si>
    <t xml:space="preserve">I.  2022. </t>
  </si>
  <si>
    <t xml:space="preserve">II.  2022. </t>
  </si>
  <si>
    <t xml:space="preserve">III.  2022. </t>
  </si>
  <si>
    <t xml:space="preserve">IV.  2022. </t>
  </si>
  <si>
    <t xml:space="preserve">V.  2022. </t>
  </si>
  <si>
    <t xml:space="preserve">VI.  2022. </t>
  </si>
  <si>
    <t xml:space="preserve">VII.  2022. </t>
  </si>
  <si>
    <t xml:space="preserve">VIII.  2022. </t>
  </si>
  <si>
    <t xml:space="preserve">IX.  2022. </t>
  </si>
  <si>
    <t xml:space="preserve">X.  2022. </t>
  </si>
  <si>
    <t xml:space="preserve">XI.  2022. </t>
  </si>
  <si>
    <t xml:space="preserve">XII.  2022. </t>
  </si>
  <si>
    <t xml:space="preserve">I.   2023. </t>
  </si>
  <si>
    <t xml:space="preserve">II.  2023. </t>
  </si>
  <si>
    <t xml:space="preserve">III.  2023. </t>
  </si>
  <si>
    <t xml:space="preserve">IV.  2023. </t>
  </si>
  <si>
    <t xml:space="preserve">V.  2023. </t>
  </si>
  <si>
    <t xml:space="preserve">VI.  2023. </t>
  </si>
  <si>
    <t>I. 2020.</t>
  </si>
  <si>
    <t>II. 2020.</t>
  </si>
  <si>
    <t>III. 2020.</t>
  </si>
  <si>
    <t>IV. 2020.</t>
  </si>
  <si>
    <t>V. 2020.</t>
  </si>
  <si>
    <t>VI. 2020.</t>
  </si>
  <si>
    <t>VII. 2020.</t>
  </si>
  <si>
    <t>VIII. 2020.</t>
  </si>
  <si>
    <t>IX. 2020.</t>
  </si>
  <si>
    <t>X. 2020.</t>
  </si>
  <si>
    <t>XI. 2020.</t>
  </si>
  <si>
    <t>XII. 2020.</t>
  </si>
  <si>
    <t>I. 2021.</t>
  </si>
  <si>
    <t>II. 2021.</t>
  </si>
  <si>
    <t>III. 2021.</t>
  </si>
  <si>
    <t>IV. 2021.</t>
  </si>
  <si>
    <t>V. 2021.</t>
  </si>
  <si>
    <t>VI. 2021.</t>
  </si>
  <si>
    <t>VII. 2021.</t>
  </si>
  <si>
    <t>VIII. 2021.</t>
  </si>
  <si>
    <t>IX. 2021.</t>
  </si>
  <si>
    <t>X. 2021.</t>
  </si>
  <si>
    <t>XI. 2021.</t>
  </si>
  <si>
    <t>XII. 2021.</t>
  </si>
  <si>
    <t>I. 2022.</t>
  </si>
  <si>
    <t>II. 2022.</t>
  </si>
  <si>
    <t>III. 2022.</t>
  </si>
  <si>
    <t>IV. 2022.</t>
  </si>
  <si>
    <t>V. 2022.</t>
  </si>
  <si>
    <t>VI. 2022.</t>
  </si>
  <si>
    <t>VII. 2022.</t>
  </si>
  <si>
    <t>VIII. 2022.</t>
  </si>
  <si>
    <t>IX. 2022.</t>
  </si>
  <si>
    <t>X. 2022.</t>
  </si>
  <si>
    <t>XI. 2022.</t>
  </si>
  <si>
    <t>XII. 2022.</t>
  </si>
  <si>
    <t>I. 2023.</t>
  </si>
  <si>
    <t>II. 2023.</t>
  </si>
  <si>
    <t>III. 2023.</t>
  </si>
  <si>
    <t>IV. 2023.</t>
  </si>
  <si>
    <t>V. 2023.</t>
  </si>
  <si>
    <t>VI. 2023.</t>
  </si>
  <si>
    <t>VII. 2023.</t>
  </si>
  <si>
    <t>Proizvodnja rafiniranih naftnih proizvoda</t>
  </si>
  <si>
    <t>FIDIC Inženjer</t>
  </si>
  <si>
    <t>Stručnjak br.</t>
  </si>
  <si>
    <t>5.</t>
  </si>
  <si>
    <t>Stručnjak 1.</t>
  </si>
  <si>
    <t>Stručnjak 2.</t>
  </si>
  <si>
    <t>Stručnjak 3.</t>
  </si>
  <si>
    <t>Stručnjak 4.</t>
  </si>
  <si>
    <t>Stručnjak 5.</t>
  </si>
  <si>
    <t>Stručnjak 6.</t>
  </si>
  <si>
    <t>Stručnjak 7.</t>
  </si>
  <si>
    <t>2</t>
  </si>
  <si>
    <t>3</t>
  </si>
  <si>
    <t>4</t>
  </si>
  <si>
    <t>5</t>
  </si>
  <si>
    <t>1</t>
  </si>
  <si>
    <t>7=5*6</t>
  </si>
  <si>
    <t>07-2023</t>
  </si>
  <si>
    <t>08-2023</t>
  </si>
  <si>
    <t xml:space="preserve">VII.  2023. </t>
  </si>
  <si>
    <t>Prekovremeni (8 sati tjedno)</t>
  </si>
  <si>
    <t xml:space="preserve">VIII.  2023. </t>
  </si>
  <si>
    <t>VIII. 2023.</t>
  </si>
  <si>
    <t>IX. 2023.</t>
  </si>
  <si>
    <t>Troškovi djelatnika na pripremi</t>
  </si>
  <si>
    <t>Brutto plaća (ukupni troškovi rada/broj radnih sati                  iz rekapitulacije obračunskih lista 03-2020)</t>
  </si>
  <si>
    <t>Osiguranje</t>
  </si>
  <si>
    <t>Garancija banke</t>
  </si>
  <si>
    <t>DIREKTINI TROŠKOVI</t>
  </si>
  <si>
    <t>Dobit 5 %</t>
  </si>
  <si>
    <t>DIREKTNI TROŠKOVI</t>
  </si>
  <si>
    <t>INDIREKTNI TROŠKOVI</t>
  </si>
  <si>
    <t>OSTALI DIREKTNI TROŠKOVI</t>
  </si>
  <si>
    <t>vozila</t>
  </si>
  <si>
    <t>Ø 2023.</t>
  </si>
  <si>
    <t xml:space="preserve">IX.  2023. </t>
  </si>
  <si>
    <t xml:space="preserve">X.  2023. </t>
  </si>
  <si>
    <t xml:space="preserve">XI.  2023. </t>
  </si>
  <si>
    <t xml:space="preserve">XII.  2023. </t>
  </si>
  <si>
    <t xml:space="preserve">I.   2024. </t>
  </si>
  <si>
    <t xml:space="preserve">II.   2024. </t>
  </si>
  <si>
    <t xml:space="preserve">III.   2024. </t>
  </si>
  <si>
    <t xml:space="preserve">IV.   2024. </t>
  </si>
  <si>
    <t xml:space="preserve">V.   2024. </t>
  </si>
  <si>
    <t xml:space="preserve">VI.   2024. </t>
  </si>
  <si>
    <t xml:space="preserve">VII.   2024. </t>
  </si>
  <si>
    <t>VIII. 2024.</t>
  </si>
  <si>
    <t>Bruto plaće-Arhitektonske djelatnosti i inženjerstvo; tehničko ispitivanje i analiza</t>
  </si>
  <si>
    <t>X. 2023.</t>
  </si>
  <si>
    <t>XI. 2023.</t>
  </si>
  <si>
    <t>XII. 2023.</t>
  </si>
  <si>
    <t>I. 2024.</t>
  </si>
  <si>
    <t>II. 2024.</t>
  </si>
  <si>
    <t>III. 2024.</t>
  </si>
  <si>
    <t>IV. 2024.</t>
  </si>
  <si>
    <t>V. 2024.</t>
  </si>
  <si>
    <t>VI. 2024.</t>
  </si>
  <si>
    <t>VII. 2024.</t>
  </si>
  <si>
    <t> Proizvodnja motornih vozila, prikolica i poluprikolica</t>
  </si>
  <si>
    <t>BP</t>
  </si>
  <si>
    <t>MV</t>
  </si>
  <si>
    <t>GO</t>
  </si>
  <si>
    <t>Porast</t>
  </si>
  <si>
    <t>FI</t>
  </si>
  <si>
    <t xml:space="preserve">Financijske usluge </t>
  </si>
  <si>
    <t>146,9</t>
  </si>
  <si>
    <t>Izračun RIZIKA promjene cijene</t>
  </si>
  <si>
    <t>Statistički nizovi po kategorijama</t>
  </si>
  <si>
    <t>Oznaka koeficijenta</t>
  </si>
  <si>
    <t>Indeksi i učešća</t>
  </si>
  <si>
    <t>Pn-Cr</t>
  </si>
  <si>
    <t>FINANCIJSKI TROŠKOVI</t>
  </si>
  <si>
    <t>4.</t>
  </si>
  <si>
    <t>Trošak sata godišnjeg odmora i praznika ((25+13)/261)</t>
  </si>
  <si>
    <t>*Broj stručnjaka</t>
  </si>
  <si>
    <t>TROŠKOVI STROJEVA - OSOBNO VOZILO</t>
  </si>
  <si>
    <t>- nagrada za radne rezultate</t>
  </si>
  <si>
    <t>PODANALIZA USLUGA ADMINISTRATORA PROJEKTA</t>
  </si>
  <si>
    <t>Najamnina</t>
  </si>
  <si>
    <t xml:space="preserve">UKUPAN IZNOS ZA JEDINICU MJERE </t>
  </si>
  <si>
    <t>Jedinica mjere / dan</t>
  </si>
  <si>
    <t>- prehrana (5000 godišnje/12)</t>
  </si>
  <si>
    <t>- prijevoz (360 kn mj)</t>
  </si>
  <si>
    <t>- prigodna nagrada ("božičnica"  2500 kn/12))</t>
  </si>
  <si>
    <t xml:space="preserve">Neoporezivi primitci </t>
  </si>
  <si>
    <t>KNZR</t>
  </si>
  <si>
    <t>Geodeta</t>
  </si>
  <si>
    <t xml:space="preserve">Angažman stručnjaka u ponudi u mjesecima </t>
  </si>
  <si>
    <t>CSS</t>
  </si>
  <si>
    <t>6=4/5</t>
  </si>
  <si>
    <t xml:space="preserve">Ukupno obveze </t>
  </si>
  <si>
    <t xml:space="preserve">Ukupno pogonski troškovi </t>
  </si>
  <si>
    <t>Neoporezivi primitci / maksimalni iznosi:</t>
  </si>
  <si>
    <t>6</t>
  </si>
  <si>
    <t>7</t>
  </si>
  <si>
    <t>USLUGE STRUČNOG NADZORA</t>
  </si>
  <si>
    <t>PRIJEVOZ</t>
  </si>
  <si>
    <t>UKUPNA VRIJEDNOST USLUGA  S DOBITI</t>
  </si>
  <si>
    <t>IZNOS UDJELA U USLUGAMA / HRK</t>
  </si>
  <si>
    <t>Broj dana rada stručnjaka</t>
  </si>
  <si>
    <t>Vrijednost ponude / HRK</t>
  </si>
  <si>
    <t>OBRAZAC 7</t>
  </si>
  <si>
    <t>UKUPNO:</t>
  </si>
  <si>
    <t xml:space="preserve">DIREKTNI TROŠKOVI </t>
  </si>
  <si>
    <t>Koeficijenati učešća pojedinih elemenata cijene</t>
  </si>
  <si>
    <t>USPOREDBA ANALIZIRANE CIJENE STRUČNJAKA I PONUĐENE CIJENE</t>
  </si>
  <si>
    <t xml:space="preserve">VIII.  2024. </t>
  </si>
  <si>
    <t>…</t>
  </si>
  <si>
    <t>ANALIZA USLUGA STRUČNJAKA U BAZNOM MJESECU/GODINI</t>
  </si>
  <si>
    <t>**Mjesečni iznos vrijednosti vozila/HRK Ili EUR</t>
  </si>
  <si>
    <t>** Mjesečna vrijednost vozila:</t>
  </si>
  <si>
    <t>- vrijednost rate leasinga</t>
  </si>
  <si>
    <t>- vrijednost mjesečne amortizacije</t>
  </si>
  <si>
    <t xml:space="preserve">Mjesečni iznos vrijednosti vozila </t>
  </si>
  <si>
    <t>km mjesečno ili godišnje</t>
  </si>
  <si>
    <t>Iznos /          HRK ili EUR</t>
  </si>
  <si>
    <t>6=4*3</t>
  </si>
  <si>
    <t xml:space="preserve">Ukupno trošak kilometar rada vozila </t>
  </si>
  <si>
    <t>% pogonski trošak</t>
  </si>
  <si>
    <t xml:space="preserve">Trošak sata godišnjeg odmora i praznika </t>
  </si>
  <si>
    <t xml:space="preserve">Prekovremeni </t>
  </si>
  <si>
    <t>- prehrana</t>
  </si>
  <si>
    <t>Prosječna cijena po danu / HRK ili EUR</t>
  </si>
  <si>
    <t>Ukupni troškovi rada / HRK ili EUR</t>
  </si>
  <si>
    <t xml:space="preserve">- prijevoz </t>
  </si>
  <si>
    <t xml:space="preserve">- nagrada za radne rezultate </t>
  </si>
  <si>
    <t>Obračun putnih troškova - dnevnica</t>
  </si>
  <si>
    <t>Vrijednost po stručnjaku</t>
  </si>
  <si>
    <t>Troškovi automobila režijskog osoblja</t>
  </si>
  <si>
    <t>Troškovi režijskog osoblja</t>
  </si>
  <si>
    <t>IZNOS USLUGA / HRK ili EUR</t>
  </si>
  <si>
    <t>rad</t>
  </si>
  <si>
    <t>Razdoblje ispostavljenih obračuna</t>
  </si>
  <si>
    <t xml:space="preserve">Razlika u cijeni </t>
  </si>
  <si>
    <t>Brutoplaća (ukupni troškovi rada / broj radnih sati iz rekapitulacije obračunskih lista za bazni mjesec)</t>
  </si>
  <si>
    <t>Brutocijena po danu / HRK ili EUR</t>
  </si>
  <si>
    <t>Koeficijent  za stručnjaka</t>
  </si>
  <si>
    <t>- prigodna nagrada ("božićnica")</t>
  </si>
  <si>
    <t>Najamnina stambenog ili poslovnog prostora ili trošak hotela</t>
  </si>
  <si>
    <t>HRK ili EUR / km</t>
  </si>
  <si>
    <t>Osobno vozilo - marka</t>
  </si>
  <si>
    <t>Iznos po km u            HRK ili EUR</t>
  </si>
  <si>
    <t>Osiguranje - kasko</t>
  </si>
  <si>
    <t>Dizel-gorivo*</t>
  </si>
  <si>
    <t>Servis vozila - ovlašteni servis*</t>
  </si>
  <si>
    <t>Zamjena guma - vulkanizer*</t>
  </si>
  <si>
    <t>Jedinična cijena za dan stručnjaka  / HRK ili EUR</t>
  </si>
  <si>
    <t>Brutoplaće - Arhitektonske djelatnosti i inženjerstvo; tehničko ispitivanje i analiza</t>
  </si>
  <si>
    <t>Koeficijenti direktnih troškova</t>
  </si>
  <si>
    <t>Jedinična cijena / dan stručnjaka na dan ponude*</t>
  </si>
  <si>
    <t xml:space="preserve">Ponuđena vrijednost stručnjaka / mjesec </t>
  </si>
  <si>
    <t>Usluga  obračunana u ispostavljenom obračunu</t>
  </si>
  <si>
    <t>* Broj stručnjaka dobiva se tako da se broj sati podijeli s brojem radnih dana i oduzme broj osoba iz uprave.</t>
  </si>
  <si>
    <t>HRT radio - pretplata</t>
  </si>
  <si>
    <t>ostali  direktni troškovi</t>
  </si>
  <si>
    <t>Obračunan rad stručnjaka</t>
  </si>
  <si>
    <t>* Porez na dodanu vrijednost obračunava se s pola vrijednosti na usluge vezane za motorna vozila.</t>
  </si>
  <si>
    <t xml:space="preserve">* Cijene su analizirane u PRILOGU 1 / OBRAZAC 3. </t>
  </si>
  <si>
    <t>- vrijednost mjesečnog najma, s time da se tada u ostala polja unose samo troškovi koji nisu uključeni u cijenu najma vozila.</t>
  </si>
  <si>
    <t>Financijski troškovi ( bankovnih usluga itd.)</t>
  </si>
  <si>
    <t>vrijednost vozila mjesečno</t>
  </si>
  <si>
    <t xml:space="preserve">PRILOG 1.  IZRAČUN KOEFICIJENATA UČEŠĆA POJEDINIH ELEMENATA CIJENE U USLUZI </t>
  </si>
  <si>
    <t>Analizirana vrijednost stručnjaka</t>
  </si>
  <si>
    <t>OBRAZAC 01</t>
  </si>
  <si>
    <t>OBRAZAC 02</t>
  </si>
  <si>
    <t>OBRAZAC 03</t>
  </si>
  <si>
    <t>OBRAZAC 04</t>
  </si>
  <si>
    <t xml:space="preserve">      Izračun vrijednosti rizika zbog izmjena troškova na projektu</t>
  </si>
  <si>
    <t>OBRAZAC 06</t>
  </si>
  <si>
    <t>OBRAZAC 05</t>
  </si>
  <si>
    <t>DOBIT</t>
  </si>
  <si>
    <t xml:space="preserve">** minimalno 5 %  </t>
  </si>
  <si>
    <t>DOBIT**</t>
  </si>
  <si>
    <t>Ukupni trošak na projektu</t>
  </si>
  <si>
    <t>Fond    dana na projektu</t>
  </si>
  <si>
    <t>Cijena po danu</t>
  </si>
  <si>
    <t>Broj dana rada po stručnjaka</t>
  </si>
  <si>
    <t>Ukupni broj radnih dana svih stručnjaka</t>
  </si>
  <si>
    <t>* unatrag od dana ponude koliko traje projekt ili najmane 3 godine</t>
  </si>
  <si>
    <t>Rizik Cr***</t>
  </si>
  <si>
    <t>*** prosječni porast kroz promatrani period</t>
  </si>
  <si>
    <t>koeficijenti u brojčanom obliku</t>
  </si>
  <si>
    <t>dobit</t>
  </si>
  <si>
    <t>indirektni troškovi</t>
  </si>
  <si>
    <t>indeks direktnih troškova</t>
  </si>
  <si>
    <r>
      <rPr>
        <b/>
        <sz val="16"/>
        <color theme="0"/>
        <rFont val="Calibri (Body)"/>
      </rPr>
      <t>Izraču</t>
    </r>
    <r>
      <rPr>
        <b/>
        <sz val="16"/>
        <color theme="0"/>
        <rFont val="Calibri"/>
        <family val="2"/>
        <charset val="238"/>
      </rPr>
      <t>n indeksa promjene troška po mjesecima</t>
    </r>
  </si>
  <si>
    <t>Pn**</t>
  </si>
  <si>
    <t xml:space="preserve">** Pn je veći od 1,00 ili 100 % tek kada su direktni troškovi  veći od prihoda, odnosno od 100 % - definicija velikog gubitka </t>
  </si>
  <si>
    <t xml:space="preserve"> udio u ukupnom mj. prihodu mjesečnih direktnih  troškova uvećanih za mj. indeks </t>
  </si>
  <si>
    <t>Tvrtka:</t>
  </si>
  <si>
    <t>Bazni mjesec:</t>
  </si>
  <si>
    <t>R.br.</t>
  </si>
  <si>
    <t>Iznos troška / godišnji</t>
  </si>
  <si>
    <t>Trošak vrijednosti vozila / najam vozila</t>
  </si>
  <si>
    <t xml:space="preserve">Trošak osiguranja vozila </t>
  </si>
  <si>
    <t>Trošak tehničkog pregleda i registracije vozila</t>
  </si>
  <si>
    <t>Trošak HRT pretplate u vozilima</t>
  </si>
  <si>
    <t>Trošak goriva</t>
  </si>
  <si>
    <t>Trošak održavanja-servis vozila</t>
  </si>
  <si>
    <t>Trošak zamjene guma-vulkanizer</t>
  </si>
  <si>
    <t>Trošak novih guma za vozila</t>
  </si>
  <si>
    <t>Trošak brutto plaća u baznom mjesecu</t>
  </si>
  <si>
    <t>Trošak neoporezivih primitaka / po Odluci o neoporezivim primicima</t>
  </si>
  <si>
    <t>- prijevoz</t>
  </si>
  <si>
    <t>- prigodna nagrada</t>
  </si>
  <si>
    <t>Trošak najamnine stambenog ili poslovnog prostora</t>
  </si>
  <si>
    <t>Trošak osiguranja od odgovornosti</t>
  </si>
  <si>
    <t>Trošak jamstva-garancije banke</t>
  </si>
  <si>
    <t>Trošak članarina</t>
  </si>
  <si>
    <t>Trošak strukovnog obrazovanja</t>
  </si>
  <si>
    <t>Trošak opreme</t>
  </si>
  <si>
    <t>Financijski troškovi tvrtke (bankovnih usluga, usluga osiguranja…)</t>
  </si>
  <si>
    <t>Troškovi automobila režjskog osoblja</t>
  </si>
  <si>
    <t>prosječni broj dana godišnjeg odmora</t>
  </si>
  <si>
    <t>Broj dana praznika</t>
  </si>
  <si>
    <t>Prosječni broj dana bolovanja</t>
  </si>
  <si>
    <t>Izvor</t>
  </si>
  <si>
    <t>broj</t>
  </si>
  <si>
    <t xml:space="preserve">Izvor </t>
  </si>
  <si>
    <t>Ukupan broj sati rada na obračunskoj listi</t>
  </si>
  <si>
    <t>Iznos</t>
  </si>
  <si>
    <t>Broj dana</t>
  </si>
  <si>
    <t>Prosječni broj radnih dana u godini</t>
  </si>
  <si>
    <t>Broj radnih dana stručnjaka 3 naprojektu mjesečno</t>
  </si>
  <si>
    <t>Broj radnih dana stručnjaka 4 naprojektu mjesečno</t>
  </si>
  <si>
    <t>Broj radnih dana stručnjaka 5 naprojektu mjesečno</t>
  </si>
  <si>
    <t>Broj radnih dana stručnjaka 6 naprojektu mjesečno</t>
  </si>
  <si>
    <t>Broj radnih dana stručnjaka 7 naprojektu mjesečno</t>
  </si>
  <si>
    <t>Koeficijent bruto plaće sručnjaja 7</t>
  </si>
  <si>
    <t>Broj radnih dana stručnjaka 8 naprojektu mjesečno</t>
  </si>
  <si>
    <t xml:space="preserve">Broj pređenih kilometra dnevno stručnjaka </t>
  </si>
  <si>
    <t>Broj prekovremenih sati tjedno</t>
  </si>
  <si>
    <t>po danu</t>
  </si>
  <si>
    <t>Neoporeziva davanja</t>
  </si>
  <si>
    <t>- prijevoz  mjesečno</t>
  </si>
  <si>
    <t>,-puna dnevnica</t>
  </si>
  <si>
    <t>Trošak najamnine poslovnog ili st. Prostora na projetu mj.</t>
  </si>
  <si>
    <t>Trajanje projekta u mjesecima</t>
  </si>
  <si>
    <t>Broj vozila u tvrtci</t>
  </si>
  <si>
    <t>Osiguranje - obvezno i kasko</t>
  </si>
  <si>
    <t>TROšak GPS usluge</t>
  </si>
  <si>
    <t>Tršak ad-blue</t>
  </si>
  <si>
    <t>Broj vozila</t>
  </si>
  <si>
    <t>Broj kilometara god.</t>
  </si>
  <si>
    <t>Godišnji fond kilometara po vozilu</t>
  </si>
  <si>
    <t>% motorno vozilo</t>
  </si>
  <si>
    <t>Ukupan broj stručnjaka u tvrtci koji se naplačuju</t>
  </si>
  <si>
    <t>Broj režijskog osoblja u tvrtci odnosno ono koje se ne naplačuje</t>
  </si>
  <si>
    <t>Pređeni kilometri automobila režijskog osoblja</t>
  </si>
  <si>
    <t>Kalkulirana dobit na projektu</t>
  </si>
  <si>
    <t>Prijevoz mjesečno</t>
  </si>
  <si>
    <t>Prevoz mjesečno</t>
  </si>
  <si>
    <t>-cijena kilometra</t>
  </si>
  <si>
    <t>Stručnjak 8.</t>
  </si>
  <si>
    <t>8</t>
  </si>
  <si>
    <t>Broj mjeseci rada stručnjaka 1 na projektu</t>
  </si>
  <si>
    <t>Broj radnih dana stručnjaka 1 na projektu mjesečno</t>
  </si>
  <si>
    <t>Broj mjeseci rada stručnjaka 2 na projektu</t>
  </si>
  <si>
    <t>Broj mjeseci rada stručnjaka 3 na projektu</t>
  </si>
  <si>
    <t>Broj mjeseci rada stručnjaka 4 na projektu</t>
  </si>
  <si>
    <t>Broj mjeseci rada stručnjaka 5 na projektu</t>
  </si>
  <si>
    <t>Broj mjeseci rada stručnjaka 6 na projektu</t>
  </si>
  <si>
    <t>Broj mjeseci rada stručnjaka 7 na projektu</t>
  </si>
  <si>
    <t>Broj mjeseci rada stručnjaka 8 na projektu</t>
  </si>
  <si>
    <t>Koeficijent bruto plaće sručnjaja 8</t>
  </si>
  <si>
    <t>Broj stručnjaka br 1</t>
  </si>
  <si>
    <t>Broj stručnjaka br 2</t>
  </si>
  <si>
    <t>Broj stručnjaka br 3</t>
  </si>
  <si>
    <t>Broj stručnjaka br 8</t>
  </si>
  <si>
    <t>Broj stručnjaka br 7</t>
  </si>
  <si>
    <t>Broj stručnjaka br 6</t>
  </si>
  <si>
    <t>Broj stručnjaka br 4</t>
  </si>
  <si>
    <t>Broj stručnjaka br 5</t>
  </si>
  <si>
    <t>Cijena km za korištenje vlastitog vozila</t>
  </si>
  <si>
    <t>Stručnjak 8</t>
  </si>
  <si>
    <t>Statistički nizovi po kategorijama - izvor DZS</t>
  </si>
  <si>
    <t>mjesec/godina</t>
  </si>
  <si>
    <t xml:space="preserve">** prag iznad kojeg se priznaje razlika u cijeni </t>
  </si>
  <si>
    <t xml:space="preserve">Indeks mjeseca početka                                                          </t>
  </si>
  <si>
    <t>Razlika u cijeni</t>
  </si>
  <si>
    <t>IX. 2024.</t>
  </si>
  <si>
    <t>116.7</t>
  </si>
  <si>
    <t>Da li je formirana zajednica ponuditelja</t>
  </si>
  <si>
    <t>Koliki je udio u zajednici ponuditelja</t>
  </si>
  <si>
    <t>Da su angažirani podizvoditelji</t>
  </si>
  <si>
    <t>Koliki je manipulativan trošak na ponuditelja</t>
  </si>
  <si>
    <t>Odgovor Da /Ne ispunjava se automaski nakon definiranja postotka</t>
  </si>
  <si>
    <t>Koeficijenti - rada</t>
  </si>
  <si>
    <t xml:space="preserve">                    - vozila</t>
  </si>
  <si>
    <t xml:space="preserve">                    - goriva</t>
  </si>
  <si>
    <t xml:space="preserve">                    - ostali direktni troškovi (financijski)</t>
  </si>
  <si>
    <t xml:space="preserve">                    - indirektni troškovi</t>
  </si>
  <si>
    <t xml:space="preserve">                    - dobit</t>
  </si>
  <si>
    <t>Da li je potrebno raditi analizu manjinskog partnera</t>
  </si>
  <si>
    <t>Ne ako je učešće glavnog ponuditelja veće od 70 %</t>
  </si>
  <si>
    <t>1.2 Ostali podaci financijski podaci</t>
  </si>
  <si>
    <t>1.1 Finacijski podaci tvrtke iz godišnje računovodstvene bilance</t>
  </si>
  <si>
    <t>2. PODACI O PROJEKTU</t>
  </si>
  <si>
    <t>2.1 Organizacijski podaci</t>
  </si>
  <si>
    <t>komentar</t>
  </si>
  <si>
    <t>2.2 Podaci o stručnjacima na projektu</t>
  </si>
  <si>
    <t>količine</t>
  </si>
  <si>
    <t>2.3 Podaci za analizu rizika</t>
  </si>
  <si>
    <t>Mjesec ponude</t>
  </si>
  <si>
    <t>Bazni mjesec</t>
  </si>
  <si>
    <t>Početak promatranog perioda za analizu rizika</t>
  </si>
  <si>
    <t>Predviđeni završetak projekta</t>
  </si>
  <si>
    <t>Mjesec ponude indexi</t>
  </si>
  <si>
    <t>indexi          - rada</t>
  </si>
  <si>
    <t>Mjesec početka za analizu rizika</t>
  </si>
  <si>
    <t>Vrijednost ugovora</t>
  </si>
  <si>
    <t>Član zajednice ponuditelja</t>
  </si>
  <si>
    <t>Stručnjak 9.- podizvoditelj</t>
  </si>
  <si>
    <t>Stručnjak 10.- podizvoditelj</t>
  </si>
  <si>
    <t>Stručnjak 11.- podizvoditelj</t>
  </si>
  <si>
    <t>Stručnjak 12.- podizvoditelj</t>
  </si>
  <si>
    <t>Broj mjeseci rada stručnjaka 9 na projektu</t>
  </si>
  <si>
    <t>Broj stručnjaka br 9</t>
  </si>
  <si>
    <r>
      <t xml:space="preserve">Broj radnih dana stručnjaka 10 </t>
    </r>
    <r>
      <rPr>
        <b/>
        <i/>
        <sz val="11"/>
        <color theme="1"/>
        <rFont val="Calibri"/>
        <family val="2"/>
        <charset val="238"/>
        <scheme val="minor"/>
      </rPr>
      <t xml:space="preserve">podizvoditelj </t>
    </r>
    <r>
      <rPr>
        <sz val="11"/>
        <color theme="1"/>
        <rFont val="Calibri"/>
        <family val="2"/>
        <charset val="238"/>
        <scheme val="minor"/>
      </rPr>
      <t>na projektu mjesečno</t>
    </r>
  </si>
  <si>
    <r>
      <t xml:space="preserve">Broj radnih dana stručnjaka 9 </t>
    </r>
    <r>
      <rPr>
        <b/>
        <i/>
        <sz val="11"/>
        <color theme="1"/>
        <rFont val="Calibri"/>
        <family val="2"/>
        <charset val="238"/>
        <scheme val="minor"/>
      </rPr>
      <t>podizvoditelj</t>
    </r>
    <r>
      <rPr>
        <sz val="11"/>
        <color theme="1"/>
        <rFont val="Calibri"/>
        <family val="2"/>
        <charset val="238"/>
        <scheme val="minor"/>
      </rPr>
      <t xml:space="preserve"> na projektu mjesečno</t>
    </r>
  </si>
  <si>
    <r>
      <t xml:space="preserve">Broj radnih dana stručnjaka 11 </t>
    </r>
    <r>
      <rPr>
        <b/>
        <i/>
        <sz val="11"/>
        <color theme="1"/>
        <rFont val="Calibri"/>
        <family val="2"/>
        <charset val="238"/>
        <scheme val="minor"/>
      </rPr>
      <t>podizvoditelj</t>
    </r>
    <r>
      <rPr>
        <sz val="11"/>
        <color theme="1"/>
        <rFont val="Calibri"/>
        <family val="2"/>
        <charset val="238"/>
        <scheme val="minor"/>
      </rPr>
      <t xml:space="preserve"> na projektu mjesečno</t>
    </r>
  </si>
  <si>
    <t>Broj mjeseci rada stručnjaka 10 na projektu</t>
  </si>
  <si>
    <t>Broj stručnjaka br 10</t>
  </si>
  <si>
    <t>Broj mjeseci rada stručnjaka 11 na projektu</t>
  </si>
  <si>
    <t>Broj stručnjaka br 11</t>
  </si>
  <si>
    <r>
      <t xml:space="preserve">Broj radnih dana stručnjaka 12 </t>
    </r>
    <r>
      <rPr>
        <b/>
        <i/>
        <sz val="11"/>
        <color theme="1"/>
        <rFont val="Calibri"/>
        <family val="2"/>
        <charset val="238"/>
        <scheme val="minor"/>
      </rPr>
      <t>podizvoditelj</t>
    </r>
    <r>
      <rPr>
        <sz val="11"/>
        <color theme="1"/>
        <rFont val="Calibri"/>
        <family val="2"/>
        <charset val="238"/>
        <scheme val="minor"/>
      </rPr>
      <t xml:space="preserve"> na projektu mjesečno</t>
    </r>
  </si>
  <si>
    <t>Broj mjeseci rada stručnjaka 12 na projektu</t>
  </si>
  <si>
    <t>Broj stručnjaka br 12</t>
  </si>
  <si>
    <r>
      <t xml:space="preserve">Cijena dana stručnjaka 9- </t>
    </r>
    <r>
      <rPr>
        <b/>
        <i/>
        <sz val="11"/>
        <color theme="1"/>
        <rFont val="Calibri"/>
        <family val="2"/>
        <charset val="238"/>
        <scheme val="minor"/>
      </rPr>
      <t>podizvoditelja</t>
    </r>
  </si>
  <si>
    <r>
      <t xml:space="preserve">Cijena dana stručnjaka 10- </t>
    </r>
    <r>
      <rPr>
        <b/>
        <i/>
        <sz val="11"/>
        <color theme="1"/>
        <rFont val="Calibri"/>
        <family val="2"/>
        <charset val="238"/>
        <scheme val="minor"/>
      </rPr>
      <t>podizvoditelja</t>
    </r>
  </si>
  <si>
    <r>
      <t xml:space="preserve">Cijena dana stručnjaka 11- </t>
    </r>
    <r>
      <rPr>
        <b/>
        <i/>
        <sz val="11"/>
        <color theme="1"/>
        <rFont val="Calibri"/>
        <family val="2"/>
        <charset val="238"/>
        <scheme val="minor"/>
      </rPr>
      <t>podizvoditelja</t>
    </r>
  </si>
  <si>
    <r>
      <t xml:space="preserve">Cijena dana stručnjaka 12- </t>
    </r>
    <r>
      <rPr>
        <b/>
        <i/>
        <sz val="11"/>
        <color theme="1"/>
        <rFont val="Calibri"/>
        <family val="2"/>
        <charset val="238"/>
        <scheme val="minor"/>
      </rPr>
      <t>podizvoditelja</t>
    </r>
  </si>
  <si>
    <t>Stručnjak 9 Podizvoditelj</t>
  </si>
  <si>
    <t>Stručnjak 10 Podivoditelj</t>
  </si>
  <si>
    <t>Stručnjak 11 Podivoditelj</t>
  </si>
  <si>
    <t>Stručnjak 12 Podizvoditelj</t>
  </si>
  <si>
    <t>Vrijednost dobivena analizom</t>
  </si>
  <si>
    <t>keficijent uvečanja plaće za prekovremene sate</t>
  </si>
  <si>
    <t>NE</t>
  </si>
  <si>
    <t>9</t>
  </si>
  <si>
    <t>10</t>
  </si>
  <si>
    <t>11</t>
  </si>
  <si>
    <t>12</t>
  </si>
  <si>
    <t xml:space="preserve">Indeks mjeseca ponude                                                          </t>
  </si>
  <si>
    <t>Stručnjak br.1</t>
  </si>
  <si>
    <t>Stručnjak br.2</t>
  </si>
  <si>
    <t>Stručnjak br.3</t>
  </si>
  <si>
    <t>Stručnjak br.4</t>
  </si>
  <si>
    <t>Stručnjak br.5</t>
  </si>
  <si>
    <t>Stručnjak br.6</t>
  </si>
  <si>
    <t>Stručnjak br.7</t>
  </si>
  <si>
    <t>Broj radnih dana stručnjaka 2 na projektu mjesečno</t>
  </si>
  <si>
    <t>Koeficijent bruto plaće stručnjaka 6</t>
  </si>
  <si>
    <t>Koeficijent bruto plaće sručnjaka 5</t>
  </si>
  <si>
    <t>Koeficijent bruto plaće sručnjaka 4</t>
  </si>
  <si>
    <t>Koeficijent bruto plaće sručnjaka 3</t>
  </si>
  <si>
    <t>Koeficijent bruto plaće sručnjaka 2</t>
  </si>
  <si>
    <t>PODANALIZA - vozilo - bazni mjesec/godina-11/2020</t>
  </si>
  <si>
    <t>Koeficijent bruto plaće sručnjaka 1</t>
  </si>
  <si>
    <t>Naziv projekta:</t>
  </si>
  <si>
    <t>Godina financijskih podataka</t>
  </si>
  <si>
    <t>Stručnjak br.8</t>
  </si>
  <si>
    <t>Početak projekta:</t>
  </si>
  <si>
    <t>Rok dovršetka: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</si>
</sst>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k_n_-;\-* #,##0.00\ _k_n_-;_-* &quot;-&quot;??\ _k_n_-;_-@_-"/>
    <numFmt numFmtId="165" formatCode="0.0000"/>
    <numFmt numFmtId="166" formatCode="#,##0.0000"/>
    <numFmt numFmtId="167" formatCode="#,##0.000"/>
    <numFmt numFmtId="168" formatCode="#,##0.00000"/>
    <numFmt numFmtId="169" formatCode="#,##0.00\ &quot;kn&quot;"/>
    <numFmt numFmtId="170" formatCode="0.0"/>
    <numFmt numFmtId="171" formatCode="0.000"/>
    <numFmt numFmtId="172" formatCode="[$-41A]mmmm\-yy;@"/>
  </numFmts>
  <fonts count="96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vantArt_PP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Avenir Next LT Pro"/>
      <family val="2"/>
      <charset val="238"/>
    </font>
    <font>
      <b/>
      <sz val="11"/>
      <color theme="1"/>
      <name val="Avenir Next LT Pro"/>
      <family val="2"/>
      <charset val="238"/>
    </font>
    <font>
      <sz val="11"/>
      <color theme="1"/>
      <name val="Avenir Next LT Pro"/>
      <family val="2"/>
      <charset val="238"/>
    </font>
    <font>
      <sz val="10"/>
      <color theme="1"/>
      <name val="Avenir Next LT Pro"/>
      <family val="2"/>
      <charset val="238"/>
    </font>
    <font>
      <b/>
      <i/>
      <sz val="10"/>
      <color theme="1"/>
      <name val="Avenir Next LT Pro"/>
      <family val="2"/>
      <charset val="238"/>
    </font>
    <font>
      <b/>
      <sz val="10"/>
      <color theme="1"/>
      <name val="Avenir Next LT Pro"/>
      <family val="2"/>
      <charset val="238"/>
    </font>
    <font>
      <sz val="11"/>
      <name val="Avenir Next LT Pro"/>
      <family val="2"/>
      <charset val="238"/>
    </font>
    <font>
      <sz val="12"/>
      <color theme="1"/>
      <name val="Avenir Next LT Pro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9"/>
      <color theme="1"/>
      <name val="Arial"/>
      <family val="2"/>
    </font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color indexed="81"/>
      <name val="Segoe UI"/>
      <family val="2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</font>
    <font>
      <b/>
      <sz val="12"/>
      <color rgb="FF000000"/>
      <name val="Calibri"/>
      <family val="2"/>
    </font>
    <font>
      <sz val="11"/>
      <name val="Calibri"/>
      <family val="2"/>
      <charset val="238"/>
      <scheme val="minor"/>
    </font>
    <font>
      <b/>
      <sz val="11"/>
      <color rgb="FFFF505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i/>
      <sz val="9"/>
      <color rgb="FF3D3D3D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1"/>
      <name val="Times New Roman"/>
      <family val="1"/>
      <charset val="238"/>
    </font>
    <font>
      <sz val="12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venir Next LT Pro"/>
      <family val="2"/>
    </font>
    <font>
      <b/>
      <sz val="11"/>
      <color theme="1"/>
      <name val="Avenir Next LT Pro Light"/>
      <family val="2"/>
    </font>
    <font>
      <sz val="11"/>
      <name val="Avenir Next LT Pro"/>
      <family val="2"/>
    </font>
    <font>
      <b/>
      <sz val="9"/>
      <color rgb="FF0070C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16"/>
      <color theme="1"/>
      <name val="Calibri"/>
      <family val="2"/>
      <scheme val="minor"/>
    </font>
    <font>
      <b/>
      <sz val="16"/>
      <color theme="1"/>
      <name val="Avenir Next LT Pro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rgb="FF000000"/>
      <name val="Segoe UI"/>
      <family val="2"/>
      <charset val="1"/>
    </font>
    <font>
      <sz val="9"/>
      <color rgb="FF000000"/>
      <name val="Segoe UI"/>
      <family val="2"/>
      <charset val="238"/>
    </font>
    <font>
      <sz val="11"/>
      <color theme="0" tint="-0.14999847407452621"/>
      <name val="Calibri"/>
      <family val="2"/>
      <charset val="238"/>
      <scheme val="minor"/>
    </font>
    <font>
      <sz val="16"/>
      <color theme="0" tint="-0.14999847407452621"/>
      <name val="Calibri"/>
      <family val="2"/>
      <charset val="238"/>
      <scheme val="minor"/>
    </font>
    <font>
      <sz val="16"/>
      <color theme="0"/>
      <name val="Calibri (Body)"/>
    </font>
    <font>
      <b/>
      <sz val="18"/>
      <color theme="0"/>
      <name val="Calibri (Body)"/>
    </font>
    <font>
      <b/>
      <sz val="14"/>
      <color theme="0"/>
      <name val="Calibri (Body)"/>
    </font>
    <font>
      <b/>
      <sz val="9"/>
      <color rgb="FF000000"/>
      <name val="Segoe UI"/>
      <family val="2"/>
      <charset val="1"/>
    </font>
    <font>
      <b/>
      <sz val="9"/>
      <color rgb="FF000000"/>
      <name val="Segoe UI"/>
      <family val="2"/>
      <charset val="238"/>
    </font>
    <font>
      <sz val="16"/>
      <color theme="1"/>
      <name val="Calibri (Body)"/>
    </font>
    <font>
      <sz val="16"/>
      <color theme="1" tint="0.14999847407452621"/>
      <name val="Calibri (Body)"/>
    </font>
    <font>
      <sz val="16"/>
      <color theme="1"/>
      <name val="Calibri"/>
      <family val="2"/>
      <charset val="238"/>
      <scheme val="minor"/>
    </font>
    <font>
      <b/>
      <sz val="16"/>
      <color theme="0"/>
      <name val="Calibri (Body)"/>
    </font>
    <font>
      <b/>
      <sz val="16"/>
      <color theme="0"/>
      <name val="Calibri"/>
      <family val="2"/>
      <charset val="238"/>
    </font>
    <font>
      <b/>
      <sz val="9"/>
      <color indexed="81"/>
      <name val="Segoe UI"/>
      <charset val="1"/>
    </font>
    <font>
      <sz val="11"/>
      <color rgb="FFDB0000"/>
      <name val="Calibri"/>
      <family val="2"/>
      <charset val="238"/>
      <scheme val="minor"/>
    </font>
    <font>
      <b/>
      <sz val="12"/>
      <color rgb="FFDB0000"/>
      <name val="Avenir Next LT Pro"/>
      <family val="2"/>
    </font>
    <font>
      <b/>
      <sz val="8"/>
      <color rgb="FFFF0000"/>
      <name val="Calibri"/>
      <family val="2"/>
      <scheme val="minor"/>
    </font>
    <font>
      <b/>
      <sz val="8"/>
      <color rgb="FFDB0000"/>
      <name val="Calibri"/>
      <family val="2"/>
      <scheme val="minor"/>
    </font>
    <font>
      <b/>
      <sz val="12"/>
      <color rgb="FFC00000"/>
      <name val="Avenir Next LT Pro"/>
      <family val="2"/>
    </font>
  </fonts>
  <fills count="3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782C2A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EFF7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gradientFill degree="45">
        <stop position="0">
          <color theme="0"/>
        </stop>
        <stop position="1">
          <color theme="4"/>
        </stop>
      </gradientFill>
    </fill>
  </fills>
  <borders count="1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theme="0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theme="0"/>
      </right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theme="0" tint="-0.24994659260841701"/>
      </right>
      <top style="thin">
        <color rgb="FFBFBFBF"/>
      </top>
      <bottom style="thin">
        <color rgb="FFBFBFBF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indexed="64"/>
      </right>
      <top style="double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/>
      <right style="dashed">
        <color auto="1"/>
      </right>
      <top style="double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double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double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indexed="64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indexed="64"/>
      </right>
      <top/>
      <bottom style="thin">
        <color auto="1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BFBFBF"/>
      </left>
      <right style="thin">
        <color rgb="FFBFBFBF"/>
      </right>
      <top style="thin">
        <color theme="0"/>
      </top>
      <bottom style="thin">
        <color theme="0"/>
      </bottom>
      <diagonal/>
    </border>
    <border>
      <left/>
      <right style="thin">
        <color rgb="FFBFBFBF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rgb="FFBFBFBF"/>
      </right>
      <top style="thin">
        <color theme="0"/>
      </top>
      <bottom style="thin">
        <color theme="0"/>
      </bottom>
      <diagonal/>
    </border>
    <border>
      <left style="thin">
        <color rgb="FFBFBFBF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BFBFBF"/>
      </left>
      <right/>
      <top style="thin">
        <color theme="0"/>
      </top>
      <bottom style="thin">
        <color theme="0"/>
      </bottom>
      <diagonal/>
    </border>
    <border>
      <left style="thin">
        <color rgb="FFBFBFBF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thin">
        <color auto="1"/>
      </right>
      <top style="dashed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double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17">
    <xf numFmtId="0" fontId="0" fillId="0" borderId="0"/>
    <xf numFmtId="0" fontId="8" fillId="0" borderId="0"/>
    <xf numFmtId="0" fontId="7" fillId="0" borderId="0"/>
    <xf numFmtId="0" fontId="9" fillId="0" borderId="0"/>
    <xf numFmtId="0" fontId="10" fillId="0" borderId="0"/>
    <xf numFmtId="9" fontId="7" fillId="0" borderId="0" applyFont="0" applyFill="0" applyBorder="0" applyAlignment="0" applyProtection="0"/>
    <xf numFmtId="0" fontId="35" fillId="0" borderId="0"/>
    <xf numFmtId="0" fontId="35" fillId="0" borderId="0"/>
    <xf numFmtId="0" fontId="47" fillId="0" borderId="0"/>
    <xf numFmtId="3" fontId="7" fillId="0" borderId="0">
      <alignment horizontal="right" vertical="center" wrapText="1"/>
    </xf>
    <xf numFmtId="3" fontId="7" fillId="0" borderId="0">
      <alignment horizontal="right" vertical="center" wrapText="1"/>
    </xf>
    <xf numFmtId="0" fontId="48" fillId="0" borderId="0"/>
    <xf numFmtId="0" fontId="9" fillId="0" borderId="0"/>
    <xf numFmtId="0" fontId="49" fillId="0" borderId="0"/>
    <xf numFmtId="164" fontId="7" fillId="0" borderId="0" applyFont="0" applyFill="0" applyBorder="0" applyAlignment="0" applyProtection="0"/>
    <xf numFmtId="0" fontId="55" fillId="0" borderId="0"/>
    <xf numFmtId="0" fontId="56" fillId="0" borderId="0" applyNumberFormat="0" applyBorder="0" applyAlignment="0"/>
  </cellStyleXfs>
  <cellXfs count="100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65" fontId="4" fillId="0" borderId="0" xfId="0" applyNumberFormat="1" applyFont="1"/>
    <xf numFmtId="49" fontId="4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49" fontId="4" fillId="0" borderId="2" xfId="0" applyNumberFormat="1" applyFont="1" applyBorder="1" applyAlignment="1" applyProtection="1">
      <alignment horizontal="left"/>
      <protection locked="0"/>
    </xf>
    <xf numFmtId="2" fontId="0" fillId="0" borderId="0" xfId="0" applyNumberFormat="1"/>
    <xf numFmtId="0" fontId="4" fillId="0" borderId="2" xfId="0" applyFont="1" applyBorder="1" applyAlignment="1" applyProtection="1">
      <alignment horizontal="left"/>
      <protection locked="0"/>
    </xf>
    <xf numFmtId="0" fontId="6" fillId="3" borderId="9" xfId="0" applyFont="1" applyFill="1" applyBorder="1"/>
    <xf numFmtId="0" fontId="6" fillId="3" borderId="10" xfId="0" applyFont="1" applyFill="1" applyBorder="1" applyAlignment="1">
      <alignment wrapText="1"/>
    </xf>
    <xf numFmtId="0" fontId="4" fillId="3" borderId="10" xfId="0" applyFont="1" applyFill="1" applyBorder="1" applyAlignment="1">
      <alignment horizontal="center"/>
    </xf>
    <xf numFmtId="165" fontId="4" fillId="3" borderId="10" xfId="0" applyNumberFormat="1" applyFont="1" applyFill="1" applyBorder="1"/>
    <xf numFmtId="4" fontId="4" fillId="3" borderId="10" xfId="0" applyNumberFormat="1" applyFont="1" applyFill="1" applyBorder="1"/>
    <xf numFmtId="49" fontId="4" fillId="0" borderId="2" xfId="0" applyNumberFormat="1" applyFont="1" applyBorder="1" applyProtection="1">
      <protection locked="0"/>
    </xf>
    <xf numFmtId="0" fontId="0" fillId="0" borderId="0" xfId="0" applyAlignment="1">
      <alignment wrapText="1"/>
    </xf>
    <xf numFmtId="0" fontId="6" fillId="3" borderId="5" xfId="0" applyFont="1" applyFill="1" applyBorder="1"/>
    <xf numFmtId="0" fontId="6" fillId="3" borderId="6" xfId="0" applyFont="1" applyFill="1" applyBorder="1"/>
    <xf numFmtId="0" fontId="2" fillId="3" borderId="6" xfId="0" applyFont="1" applyFill="1" applyBorder="1" applyAlignment="1">
      <alignment horizontal="center"/>
    </xf>
    <xf numFmtId="165" fontId="2" fillId="3" borderId="6" xfId="0" applyNumberFormat="1" applyFont="1" applyFill="1" applyBorder="1"/>
    <xf numFmtId="4" fontId="2" fillId="3" borderId="6" xfId="0" applyNumberFormat="1" applyFont="1" applyFill="1" applyBorder="1"/>
    <xf numFmtId="0" fontId="1" fillId="0" borderId="12" xfId="0" applyFont="1" applyBorder="1" applyAlignment="1" applyProtection="1">
      <alignment wrapText="1"/>
      <protection locked="0"/>
    </xf>
    <xf numFmtId="49" fontId="1" fillId="0" borderId="2" xfId="0" applyNumberFormat="1" applyFont="1" applyBorder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4" fillId="4" borderId="13" xfId="0" applyFont="1" applyFill="1" applyBorder="1"/>
    <xf numFmtId="0" fontId="4" fillId="4" borderId="14" xfId="0" applyFont="1" applyFill="1" applyBorder="1" applyAlignment="1">
      <alignment wrapText="1"/>
    </xf>
    <xf numFmtId="0" fontId="4" fillId="4" borderId="14" xfId="0" applyFont="1" applyFill="1" applyBorder="1" applyAlignment="1">
      <alignment horizontal="center"/>
    </xf>
    <xf numFmtId="165" fontId="4" fillId="4" borderId="14" xfId="0" applyNumberFormat="1" applyFont="1" applyFill="1" applyBorder="1"/>
    <xf numFmtId="4" fontId="4" fillId="4" borderId="15" xfId="0" applyNumberFormat="1" applyFont="1" applyFill="1" applyBorder="1"/>
    <xf numFmtId="4" fontId="6" fillId="4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4" fontId="4" fillId="0" borderId="0" xfId="0" applyNumberFormat="1" applyFont="1" applyAlignment="1" applyProtection="1">
      <alignment horizontal="center" vertical="center"/>
      <protection locked="0"/>
    </xf>
    <xf numFmtId="4" fontId="4" fillId="0" borderId="8" xfId="0" applyNumberFormat="1" applyFont="1" applyBorder="1" applyAlignment="1">
      <alignment horizontal="center" vertical="center"/>
    </xf>
    <xf numFmtId="4" fontId="2" fillId="5" borderId="14" xfId="0" applyNumberFormat="1" applyFont="1" applyFill="1" applyBorder="1" applyAlignment="1">
      <alignment horizontal="center" vertical="center" wrapText="1"/>
    </xf>
    <xf numFmtId="4" fontId="2" fillId="3" borderId="7" xfId="0" applyNumberFormat="1" applyFont="1" applyFill="1" applyBorder="1"/>
    <xf numFmtId="4" fontId="4" fillId="0" borderId="8" xfId="0" applyNumberFormat="1" applyFont="1" applyBorder="1" applyAlignment="1">
      <alignment horizontal="center"/>
    </xf>
    <xf numFmtId="4" fontId="4" fillId="3" borderId="11" xfId="0" applyNumberFormat="1" applyFont="1" applyFill="1" applyBorder="1" applyAlignment="1">
      <alignment horizontal="center"/>
    </xf>
    <xf numFmtId="4" fontId="0" fillId="0" borderId="0" xfId="0" applyNumberFormat="1"/>
    <xf numFmtId="0" fontId="1" fillId="0" borderId="20" xfId="0" applyFont="1" applyBorder="1" applyAlignment="1" applyProtection="1">
      <alignment horizontal="center" vertical="center" wrapText="1"/>
      <protection locked="0"/>
    </xf>
    <xf numFmtId="4" fontId="2" fillId="0" borderId="8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/>
    </xf>
    <xf numFmtId="4" fontId="2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4" fontId="5" fillId="4" borderId="13" xfId="0" applyNumberFormat="1" applyFont="1" applyFill="1" applyBorder="1" applyAlignment="1">
      <alignment vertical="center" wrapText="1"/>
    </xf>
    <xf numFmtId="4" fontId="5" fillId="4" borderId="14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" fontId="0" fillId="0" borderId="3" xfId="0" applyNumberFormat="1" applyBorder="1"/>
    <xf numFmtId="3" fontId="20" fillId="0" borderId="0" xfId="0" applyNumberFormat="1" applyFont="1" applyAlignment="1">
      <alignment horizontal="right"/>
    </xf>
    <xf numFmtId="3" fontId="20" fillId="0" borderId="0" xfId="0" applyNumberFormat="1" applyFont="1"/>
    <xf numFmtId="4" fontId="1" fillId="0" borderId="3" xfId="0" applyNumberFormat="1" applyFont="1" applyBorder="1" applyProtection="1">
      <protection locked="0"/>
    </xf>
    <xf numFmtId="4" fontId="1" fillId="0" borderId="0" xfId="0" applyNumberFormat="1" applyFont="1" applyProtection="1">
      <protection locked="0"/>
    </xf>
    <xf numFmtId="4" fontId="6" fillId="4" borderId="13" xfId="0" applyNumberFormat="1" applyFont="1" applyFill="1" applyBorder="1" applyAlignment="1">
      <alignment horizontal="center" vertical="center"/>
    </xf>
    <xf numFmtId="4" fontId="6" fillId="4" borderId="14" xfId="0" applyNumberFormat="1" applyFont="1" applyFill="1" applyBorder="1" applyAlignment="1">
      <alignment horizontal="center" vertical="center"/>
    </xf>
    <xf numFmtId="165" fontId="1" fillId="4" borderId="14" xfId="0" applyNumberFormat="1" applyFont="1" applyFill="1" applyBorder="1"/>
    <xf numFmtId="10" fontId="0" fillId="0" borderId="0" xfId="5" applyNumberFormat="1" applyFont="1" applyAlignment="1">
      <alignment horizontal="center"/>
    </xf>
    <xf numFmtId="0" fontId="21" fillId="0" borderId="0" xfId="0" applyFont="1"/>
    <xf numFmtId="0" fontId="22" fillId="0" borderId="0" xfId="0" applyFont="1"/>
    <xf numFmtId="0" fontId="23" fillId="7" borderId="41" xfId="0" applyFont="1" applyFill="1" applyBorder="1" applyAlignment="1">
      <alignment horizontal="center" vertical="center"/>
    </xf>
    <xf numFmtId="0" fontId="24" fillId="7" borderId="42" xfId="0" applyFont="1" applyFill="1" applyBorder="1" applyAlignment="1">
      <alignment horizontal="center" vertical="center" wrapText="1"/>
    </xf>
    <xf numFmtId="0" fontId="24" fillId="7" borderId="43" xfId="0" applyFont="1" applyFill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/>
    </xf>
    <xf numFmtId="0" fontId="25" fillId="0" borderId="44" xfId="0" quotePrefix="1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29" xfId="0" quotePrefix="1" applyFont="1" applyBorder="1" applyAlignment="1">
      <alignment horizontal="center" vertical="center"/>
    </xf>
    <xf numFmtId="0" fontId="25" fillId="0" borderId="30" xfId="0" quotePrefix="1" applyFont="1" applyBorder="1" applyAlignment="1">
      <alignment horizontal="center" vertical="center"/>
    </xf>
    <xf numFmtId="0" fontId="25" fillId="4" borderId="28" xfId="0" applyFont="1" applyFill="1" applyBorder="1"/>
    <xf numFmtId="169" fontId="26" fillId="4" borderId="29" xfId="0" applyNumberFormat="1" applyFont="1" applyFill="1" applyBorder="1" applyAlignment="1">
      <alignment horizontal="center" vertical="center"/>
    </xf>
    <xf numFmtId="10" fontId="27" fillId="4" borderId="29" xfId="5" applyNumberFormat="1" applyFont="1" applyFill="1" applyBorder="1" applyAlignment="1">
      <alignment horizontal="center" vertical="center"/>
    </xf>
    <xf numFmtId="10" fontId="28" fillId="4" borderId="30" xfId="5" applyNumberFormat="1" applyFont="1" applyFill="1" applyBorder="1" applyAlignment="1">
      <alignment horizontal="center" vertical="center"/>
    </xf>
    <xf numFmtId="0" fontId="25" fillId="8" borderId="28" xfId="0" applyFont="1" applyFill="1" applyBorder="1"/>
    <xf numFmtId="169" fontId="26" fillId="8" borderId="29" xfId="0" applyNumberFormat="1" applyFont="1" applyFill="1" applyBorder="1" applyAlignment="1">
      <alignment horizontal="center" vertical="center"/>
    </xf>
    <xf numFmtId="10" fontId="27" fillId="8" borderId="29" xfId="5" applyNumberFormat="1" applyFont="1" applyFill="1" applyBorder="1" applyAlignment="1">
      <alignment horizontal="center" vertical="center"/>
    </xf>
    <xf numFmtId="10" fontId="28" fillId="8" borderId="30" xfId="5" applyNumberFormat="1" applyFont="1" applyFill="1" applyBorder="1" applyAlignment="1">
      <alignment horizontal="center" vertical="center"/>
    </xf>
    <xf numFmtId="0" fontId="25" fillId="7" borderId="31" xfId="0" applyFont="1" applyFill="1" applyBorder="1"/>
    <xf numFmtId="169" fontId="26" fillId="7" borderId="32" xfId="0" applyNumberFormat="1" applyFont="1" applyFill="1" applyBorder="1" applyAlignment="1">
      <alignment horizontal="center" vertical="center"/>
    </xf>
    <xf numFmtId="10" fontId="27" fillId="7" borderId="32" xfId="5" applyNumberFormat="1" applyFont="1" applyFill="1" applyBorder="1" applyAlignment="1">
      <alignment horizontal="center" vertical="center"/>
    </xf>
    <xf numFmtId="10" fontId="28" fillId="7" borderId="33" xfId="5" applyNumberFormat="1" applyFont="1" applyFill="1" applyBorder="1" applyAlignment="1">
      <alignment horizontal="center" vertical="center"/>
    </xf>
    <xf numFmtId="0" fontId="24" fillId="9" borderId="45" xfId="0" applyFont="1" applyFill="1" applyBorder="1"/>
    <xf numFmtId="10" fontId="28" fillId="9" borderId="46" xfId="5" applyNumberFormat="1" applyFont="1" applyFill="1" applyBorder="1" applyAlignment="1">
      <alignment horizontal="center" vertical="center"/>
    </xf>
    <xf numFmtId="10" fontId="24" fillId="9" borderId="46" xfId="5" applyNumberFormat="1" applyFont="1" applyFill="1" applyBorder="1" applyAlignment="1">
      <alignment horizontal="center" vertical="center"/>
    </xf>
    <xf numFmtId="10" fontId="24" fillId="9" borderId="47" xfId="5" applyNumberFormat="1" applyFont="1" applyFill="1" applyBorder="1" applyAlignment="1">
      <alignment horizontal="center" vertical="center"/>
    </xf>
    <xf numFmtId="0" fontId="0" fillId="0" borderId="0" xfId="0" quotePrefix="1"/>
    <xf numFmtId="0" fontId="25" fillId="11" borderId="0" xfId="0" applyFont="1" applyFill="1" applyAlignment="1">
      <alignment horizontal="center"/>
    </xf>
    <xf numFmtId="4" fontId="29" fillId="4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/>
    </xf>
    <xf numFmtId="0" fontId="30" fillId="7" borderId="0" xfId="0" applyFont="1" applyFill="1" applyAlignment="1">
      <alignment horizontal="center" vertical="center" wrapText="1"/>
    </xf>
    <xf numFmtId="168" fontId="30" fillId="7" borderId="0" xfId="0" applyNumberFormat="1" applyFont="1" applyFill="1" applyAlignment="1">
      <alignment horizontal="center" vertical="center" wrapText="1"/>
    </xf>
    <xf numFmtId="4" fontId="30" fillId="7" borderId="0" xfId="0" applyNumberFormat="1" applyFont="1" applyFill="1" applyAlignment="1">
      <alignment horizontal="center" vertical="center" wrapText="1"/>
    </xf>
    <xf numFmtId="17" fontId="30" fillId="10" borderId="0" xfId="0" quotePrefix="1" applyNumberFormat="1" applyFont="1" applyFill="1"/>
    <xf numFmtId="17" fontId="30" fillId="4" borderId="0" xfId="0" quotePrefix="1" applyNumberFormat="1" applyFont="1" applyFill="1"/>
    <xf numFmtId="4" fontId="30" fillId="4" borderId="0" xfId="0" applyNumberFormat="1" applyFont="1" applyFill="1" applyAlignment="1">
      <alignment horizontal="center"/>
    </xf>
    <xf numFmtId="4" fontId="30" fillId="10" borderId="0" xfId="0" applyNumberFormat="1" applyFont="1" applyFill="1" applyAlignment="1">
      <alignment horizontal="center"/>
    </xf>
    <xf numFmtId="168" fontId="30" fillId="4" borderId="0" xfId="0" applyNumberFormat="1" applyFont="1" applyFill="1" applyAlignment="1">
      <alignment horizontal="center"/>
    </xf>
    <xf numFmtId="168" fontId="30" fillId="10" borderId="0" xfId="0" applyNumberFormat="1" applyFont="1" applyFill="1" applyAlignment="1">
      <alignment horizontal="center"/>
    </xf>
    <xf numFmtId="0" fontId="30" fillId="0" borderId="0" xfId="0" applyFont="1"/>
    <xf numFmtId="168" fontId="30" fillId="0" borderId="0" xfId="0" applyNumberFormat="1" applyFont="1" applyAlignment="1">
      <alignment horizontal="center"/>
    </xf>
    <xf numFmtId="4" fontId="30" fillId="0" borderId="0" xfId="0" applyNumberFormat="1" applyFont="1" applyAlignment="1">
      <alignment horizontal="center"/>
    </xf>
    <xf numFmtId="4" fontId="30" fillId="0" borderId="0" xfId="0" applyNumberFormat="1" applyFont="1" applyAlignment="1">
      <alignment horizontal="center" vertical="center" wrapText="1"/>
    </xf>
    <xf numFmtId="0" fontId="23" fillId="0" borderId="0" xfId="0" applyFont="1"/>
    <xf numFmtId="4" fontId="30" fillId="0" borderId="0" xfId="0" applyNumberFormat="1" applyFont="1"/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168" fontId="25" fillId="0" borderId="0" xfId="0" applyNumberFormat="1" applyFont="1" applyAlignment="1">
      <alignment horizontal="center" vertical="center" wrapText="1"/>
    </xf>
    <xf numFmtId="4" fontId="30" fillId="10" borderId="0" xfId="0" applyNumberFormat="1" applyFont="1" applyFill="1" applyAlignment="1">
      <alignment horizontal="center" vertical="center" wrapText="1"/>
    </xf>
    <xf numFmtId="4" fontId="30" fillId="4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Protection="1">
      <protection locked="0"/>
    </xf>
    <xf numFmtId="1" fontId="1" fillId="0" borderId="0" xfId="0" applyNumberFormat="1" applyFont="1"/>
    <xf numFmtId="0" fontId="31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2" fontId="38" fillId="12" borderId="51" xfId="0" applyNumberFormat="1" applyFont="1" applyFill="1" applyBorder="1" applyAlignment="1">
      <alignment horizontal="right" vertical="top"/>
    </xf>
    <xf numFmtId="0" fontId="18" fillId="0" borderId="1" xfId="3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1" fillId="0" borderId="0" xfId="0" applyFont="1"/>
    <xf numFmtId="4" fontId="41" fillId="0" borderId="0" xfId="0" applyNumberFormat="1" applyFont="1" applyAlignment="1">
      <alignment horizontal="center"/>
    </xf>
    <xf numFmtId="4" fontId="1" fillId="0" borderId="0" xfId="0" applyNumberFormat="1" applyFont="1" applyAlignment="1" applyProtection="1">
      <alignment horizontal="center"/>
      <protection locked="0"/>
    </xf>
    <xf numFmtId="4" fontId="30" fillId="18" borderId="0" xfId="0" applyNumberFormat="1" applyFont="1" applyFill="1" applyAlignment="1">
      <alignment horizontal="center"/>
    </xf>
    <xf numFmtId="49" fontId="30" fillId="18" borderId="0" xfId="0" quotePrefix="1" applyNumberFormat="1" applyFont="1" applyFill="1"/>
    <xf numFmtId="49" fontId="30" fillId="10" borderId="0" xfId="0" quotePrefix="1" applyNumberFormat="1" applyFont="1" applyFill="1"/>
    <xf numFmtId="168" fontId="30" fillId="18" borderId="0" xfId="0" applyNumberFormat="1" applyFont="1" applyFill="1" applyAlignment="1">
      <alignment horizontal="center"/>
    </xf>
    <xf numFmtId="10" fontId="30" fillId="0" borderId="0" xfId="5" applyNumberFormat="1" applyFont="1" applyAlignment="1">
      <alignment horizontal="center"/>
    </xf>
    <xf numFmtId="4" fontId="25" fillId="4" borderId="0" xfId="0" applyNumberFormat="1" applyFont="1" applyFill="1" applyAlignment="1">
      <alignment horizontal="center"/>
    </xf>
    <xf numFmtId="10" fontId="25" fillId="4" borderId="0" xfId="5" applyNumberFormat="1" applyFont="1" applyFill="1" applyAlignment="1">
      <alignment horizontal="center"/>
    </xf>
    <xf numFmtId="2" fontId="40" fillId="0" borderId="52" xfId="0" applyNumberFormat="1" applyFont="1" applyBorder="1" applyAlignment="1">
      <alignment horizontal="center" vertical="center"/>
    </xf>
    <xf numFmtId="2" fontId="40" fillId="0" borderId="53" xfId="0" applyNumberFormat="1" applyFont="1" applyBorder="1" applyAlignment="1">
      <alignment horizontal="center" vertical="center"/>
    </xf>
    <xf numFmtId="2" fontId="40" fillId="0" borderId="54" xfId="0" applyNumberFormat="1" applyFont="1" applyBorder="1" applyAlignment="1">
      <alignment horizontal="center" vertical="center"/>
    </xf>
    <xf numFmtId="2" fontId="40" fillId="0" borderId="55" xfId="0" applyNumberFormat="1" applyFont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/>
    </xf>
    <xf numFmtId="0" fontId="1" fillId="4" borderId="13" xfId="0" applyFont="1" applyFill="1" applyBorder="1"/>
    <xf numFmtId="0" fontId="6" fillId="4" borderId="2" xfId="0" applyFont="1" applyFill="1" applyBorder="1" applyAlignment="1" applyProtection="1">
      <alignment horizontal="left"/>
      <protection locked="0"/>
    </xf>
    <xf numFmtId="2" fontId="38" fillId="12" borderId="0" xfId="0" applyNumberFormat="1" applyFont="1" applyFill="1" applyAlignment="1">
      <alignment horizontal="right" vertical="top"/>
    </xf>
    <xf numFmtId="0" fontId="0" fillId="0" borderId="0" xfId="5" applyNumberFormat="1" applyFont="1" applyAlignment="1">
      <alignment horizontal="center"/>
    </xf>
    <xf numFmtId="170" fontId="32" fillId="17" borderId="51" xfId="6" applyNumberFormat="1" applyFont="1" applyFill="1" applyBorder="1" applyAlignment="1">
      <alignment vertical="top"/>
    </xf>
    <xf numFmtId="170" fontId="32" fillId="17" borderId="51" xfId="6" applyNumberFormat="1" applyFont="1" applyFill="1" applyBorder="1" applyAlignment="1">
      <alignment horizontal="right" vertical="top"/>
    </xf>
    <xf numFmtId="2" fontId="0" fillId="0" borderId="0" xfId="0" applyNumberFormat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4" fontId="1" fillId="0" borderId="16" xfId="0" applyNumberFormat="1" applyFont="1" applyBorder="1" applyAlignment="1">
      <alignment horizontal="center"/>
    </xf>
    <xf numFmtId="4" fontId="2" fillId="5" borderId="15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4" fontId="4" fillId="0" borderId="0" xfId="0" applyNumberFormat="1" applyFont="1" applyAlignment="1" applyProtection="1">
      <alignment horizontal="center"/>
      <protection locked="0"/>
    </xf>
    <xf numFmtId="165" fontId="4" fillId="0" borderId="0" xfId="0" applyNumberFormat="1" applyFont="1" applyProtection="1">
      <protection locked="0"/>
    </xf>
    <xf numFmtId="0" fontId="1" fillId="0" borderId="0" xfId="0" quotePrefix="1" applyFont="1" applyAlignment="1" applyProtection="1">
      <alignment horizontal="left" vertical="center" wrapText="1"/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wrapText="1"/>
      <protection locked="0"/>
    </xf>
    <xf numFmtId="4" fontId="0" fillId="0" borderId="0" xfId="0" applyNumberFormat="1" applyAlignment="1">
      <alignment horizontal="center" vertical="center"/>
    </xf>
    <xf numFmtId="4" fontId="4" fillId="0" borderId="0" xfId="0" applyNumberFormat="1" applyFont="1" applyProtection="1">
      <protection locked="0"/>
    </xf>
    <xf numFmtId="0" fontId="1" fillId="4" borderId="0" xfId="0" applyFont="1" applyFill="1" applyAlignment="1" applyProtection="1">
      <alignment wrapText="1"/>
      <protection locked="0"/>
    </xf>
    <xf numFmtId="0" fontId="4" fillId="4" borderId="0" xfId="0" applyFont="1" applyFill="1" applyAlignment="1" applyProtection="1">
      <alignment horizontal="center"/>
      <protection locked="0"/>
    </xf>
    <xf numFmtId="165" fontId="4" fillId="4" borderId="0" xfId="0" applyNumberFormat="1" applyFont="1" applyFill="1" applyProtection="1">
      <protection locked="0"/>
    </xf>
    <xf numFmtId="4" fontId="4" fillId="4" borderId="0" xfId="0" applyNumberFormat="1" applyFont="1" applyFill="1" applyProtection="1">
      <protection locked="0"/>
    </xf>
    <xf numFmtId="0" fontId="1" fillId="0" borderId="0" xfId="0" applyFont="1" applyAlignment="1">
      <alignment wrapText="1"/>
    </xf>
    <xf numFmtId="10" fontId="4" fillId="0" borderId="0" xfId="5" applyNumberFormat="1" applyFont="1" applyBorder="1" applyAlignment="1" applyProtection="1">
      <protection locked="0"/>
    </xf>
    <xf numFmtId="10" fontId="6" fillId="4" borderId="15" xfId="5" applyNumberFormat="1" applyFont="1" applyFill="1" applyBorder="1" applyAlignment="1">
      <alignment horizontal="center" vertical="center"/>
    </xf>
    <xf numFmtId="4" fontId="5" fillId="4" borderId="15" xfId="0" applyNumberFormat="1" applyFont="1" applyFill="1" applyBorder="1" applyAlignment="1">
      <alignment vertical="center" wrapText="1"/>
    </xf>
    <xf numFmtId="0" fontId="0" fillId="0" borderId="17" xfId="0" applyBorder="1"/>
    <xf numFmtId="0" fontId="0" fillId="0" borderId="18" xfId="0" applyBorder="1" applyAlignment="1">
      <alignment wrapText="1"/>
    </xf>
    <xf numFmtId="0" fontId="0" fillId="0" borderId="18" xfId="0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0" xfId="0" applyBorder="1"/>
    <xf numFmtId="0" fontId="0" fillId="0" borderId="3" xfId="0" applyBorder="1" applyAlignment="1">
      <alignment wrapText="1"/>
    </xf>
    <xf numFmtId="0" fontId="0" fillId="0" borderId="3" xfId="0" applyBorder="1"/>
    <xf numFmtId="4" fontId="0" fillId="0" borderId="4" xfId="0" applyNumberFormat="1" applyBorder="1"/>
    <xf numFmtId="0" fontId="4" fillId="0" borderId="2" xfId="0" applyFont="1" applyBorder="1"/>
    <xf numFmtId="4" fontId="4" fillId="0" borderId="0" xfId="0" applyNumberFormat="1" applyFont="1"/>
    <xf numFmtId="4" fontId="4" fillId="0" borderId="16" xfId="0" applyNumberFormat="1" applyFont="1" applyBorder="1"/>
    <xf numFmtId="0" fontId="4" fillId="0" borderId="0" xfId="0" applyFont="1" applyAlignment="1" applyProtection="1">
      <alignment horizontal="center"/>
      <protection locked="0"/>
    </xf>
    <xf numFmtId="4" fontId="2" fillId="3" borderId="6" xfId="0" applyNumberFormat="1" applyFont="1" applyFill="1" applyBorder="1" applyAlignment="1">
      <alignment horizontal="center"/>
    </xf>
    <xf numFmtId="4" fontId="2" fillId="3" borderId="7" xfId="0" applyNumberFormat="1" applyFont="1" applyFill="1" applyBorder="1" applyAlignment="1">
      <alignment horizontal="center"/>
    </xf>
    <xf numFmtId="0" fontId="1" fillId="0" borderId="0" xfId="0" applyFont="1" applyAlignment="1" applyProtection="1">
      <alignment vertical="center" wrapText="1"/>
      <protection locked="0"/>
    </xf>
    <xf numFmtId="0" fontId="30" fillId="0" borderId="0" xfId="0" applyFont="1" applyAlignment="1">
      <alignment horizont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0" fontId="0" fillId="0" borderId="29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10" fontId="65" fillId="0" borderId="0" xfId="5" applyNumberFormat="1" applyFont="1" applyAlignment="1">
      <alignment horizontal="center"/>
    </xf>
    <xf numFmtId="0" fontId="0" fillId="0" borderId="32" xfId="0" applyBorder="1" applyAlignment="1">
      <alignment horizontal="center" vertical="center" wrapText="1"/>
    </xf>
    <xf numFmtId="0" fontId="0" fillId="0" borderId="28" xfId="0" applyBorder="1" applyAlignment="1">
      <alignment horizontal="left" vertical="center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0" xfId="0" applyAlignment="1">
      <alignment horizontal="left"/>
    </xf>
    <xf numFmtId="49" fontId="30" fillId="18" borderId="2" xfId="0" quotePrefix="1" applyNumberFormat="1" applyFont="1" applyFill="1" applyBorder="1"/>
    <xf numFmtId="49" fontId="30" fillId="10" borderId="2" xfId="0" quotePrefix="1" applyNumberFormat="1" applyFont="1" applyFill="1" applyBorder="1"/>
    <xf numFmtId="4" fontId="30" fillId="10" borderId="29" xfId="0" applyNumberFormat="1" applyFont="1" applyFill="1" applyBorder="1" applyAlignment="1">
      <alignment horizontal="center"/>
    </xf>
    <xf numFmtId="4" fontId="30" fillId="10" borderId="80" xfId="0" applyNumberFormat="1" applyFont="1" applyFill="1" applyBorder="1" applyAlignment="1">
      <alignment horizontal="center"/>
    </xf>
    <xf numFmtId="4" fontId="30" fillId="18" borderId="29" xfId="0" applyNumberFormat="1" applyFont="1" applyFill="1" applyBorder="1" applyAlignment="1">
      <alignment horizontal="center"/>
    </xf>
    <xf numFmtId="4" fontId="30" fillId="18" borderId="80" xfId="0" applyNumberFormat="1" applyFont="1" applyFill="1" applyBorder="1" applyAlignment="1">
      <alignment horizontal="center"/>
    </xf>
    <xf numFmtId="4" fontId="30" fillId="10" borderId="26" xfId="0" applyNumberFormat="1" applyFont="1" applyFill="1" applyBorder="1" applyAlignment="1">
      <alignment horizontal="center"/>
    </xf>
    <xf numFmtId="4" fontId="30" fillId="10" borderId="90" xfId="0" applyNumberFormat="1" applyFont="1" applyFill="1" applyBorder="1" applyAlignment="1">
      <alignment horizontal="center"/>
    </xf>
    <xf numFmtId="0" fontId="25" fillId="18" borderId="0" xfId="0" applyFont="1" applyFill="1" applyAlignment="1">
      <alignment horizontal="center"/>
    </xf>
    <xf numFmtId="0" fontId="62" fillId="0" borderId="29" xfId="0" applyFont="1" applyBorder="1" applyAlignment="1">
      <alignment horizontal="center"/>
    </xf>
    <xf numFmtId="0" fontId="62" fillId="0" borderId="52" xfId="0" applyFont="1" applyBorder="1" applyAlignment="1">
      <alignment horizontal="center"/>
    </xf>
    <xf numFmtId="4" fontId="4" fillId="0" borderId="29" xfId="0" applyNumberFormat="1" applyFont="1" applyBorder="1" applyAlignment="1" applyProtection="1">
      <alignment horizontal="center" vertical="center"/>
      <protection locked="0"/>
    </xf>
    <xf numFmtId="4" fontId="4" fillId="0" borderId="80" xfId="0" applyNumberFormat="1" applyFont="1" applyBorder="1" applyAlignment="1" applyProtection="1">
      <alignment horizontal="center" vertical="center"/>
      <protection locked="0"/>
    </xf>
    <xf numFmtId="4" fontId="4" fillId="0" borderId="29" xfId="0" applyNumberFormat="1" applyFont="1" applyBorder="1" applyAlignment="1" applyProtection="1">
      <alignment horizontal="center"/>
      <protection locked="0"/>
    </xf>
    <xf numFmtId="4" fontId="1" fillId="0" borderId="29" xfId="0" applyNumberFormat="1" applyFont="1" applyBorder="1" applyAlignment="1" applyProtection="1">
      <alignment horizontal="center"/>
      <protection locked="0"/>
    </xf>
    <xf numFmtId="4" fontId="4" fillId="0" borderId="80" xfId="0" applyNumberFormat="1" applyFont="1" applyBorder="1" applyAlignment="1" applyProtection="1">
      <alignment horizontal="center"/>
      <protection locked="0"/>
    </xf>
    <xf numFmtId="4" fontId="1" fillId="0" borderId="76" xfId="0" applyNumberFormat="1" applyFont="1" applyBorder="1" applyProtection="1">
      <protection locked="0"/>
    </xf>
    <xf numFmtId="4" fontId="0" fillId="0" borderId="76" xfId="0" applyNumberFormat="1" applyBorder="1"/>
    <xf numFmtId="4" fontId="4" fillId="0" borderId="76" xfId="0" applyNumberFormat="1" applyFont="1" applyBorder="1" applyAlignment="1" applyProtection="1">
      <alignment horizontal="center"/>
      <protection locked="0"/>
    </xf>
    <xf numFmtId="4" fontId="0" fillId="0" borderId="29" xfId="0" applyNumberFormat="1" applyBorder="1"/>
    <xf numFmtId="4" fontId="4" fillId="0" borderId="29" xfId="0" applyNumberFormat="1" applyFont="1" applyBorder="1" applyProtection="1">
      <protection locked="0"/>
    </xf>
    <xf numFmtId="10" fontId="4" fillId="0" borderId="29" xfId="5" applyNumberFormat="1" applyFont="1" applyBorder="1" applyAlignment="1" applyProtection="1">
      <protection locked="0"/>
    </xf>
    <xf numFmtId="4" fontId="4" fillId="0" borderId="92" xfId="0" applyNumberFormat="1" applyFont="1" applyBorder="1" applyAlignment="1" applyProtection="1">
      <alignment horizontal="center" vertical="center"/>
      <protection locked="0"/>
    </xf>
    <xf numFmtId="4" fontId="4" fillId="0" borderId="26" xfId="0" applyNumberFormat="1" applyFont="1" applyBorder="1" applyAlignment="1" applyProtection="1">
      <alignment horizontal="center" vertical="center"/>
      <protection locked="0"/>
    </xf>
    <xf numFmtId="4" fontId="4" fillId="0" borderId="90" xfId="0" applyNumberFormat="1" applyFont="1" applyBorder="1" applyAlignment="1" applyProtection="1">
      <alignment horizontal="center" vertical="center"/>
      <protection locked="0"/>
    </xf>
    <xf numFmtId="4" fontId="4" fillId="0" borderId="26" xfId="0" applyNumberFormat="1" applyFont="1" applyBorder="1" applyAlignment="1" applyProtection="1">
      <alignment horizontal="center"/>
      <protection locked="0"/>
    </xf>
    <xf numFmtId="4" fontId="0" fillId="0" borderId="26" xfId="0" applyNumberFormat="1" applyBorder="1" applyAlignment="1">
      <alignment horizontal="center" vertical="center"/>
    </xf>
    <xf numFmtId="4" fontId="1" fillId="0" borderId="90" xfId="0" applyNumberFormat="1" applyFont="1" applyBorder="1" applyAlignment="1">
      <alignment horizontal="center"/>
    </xf>
    <xf numFmtId="4" fontId="1" fillId="0" borderId="32" xfId="0" applyNumberFormat="1" applyFont="1" applyBorder="1" applyAlignment="1" applyProtection="1">
      <alignment horizontal="center"/>
      <protection locked="0"/>
    </xf>
    <xf numFmtId="4" fontId="4" fillId="0" borderId="32" xfId="0" applyNumberFormat="1" applyFont="1" applyBorder="1" applyAlignment="1" applyProtection="1">
      <alignment horizontal="center"/>
      <protection locked="0"/>
    </xf>
    <xf numFmtId="4" fontId="4" fillId="0" borderId="84" xfId="0" applyNumberFormat="1" applyFont="1" applyBorder="1" applyAlignment="1" applyProtection="1">
      <alignment horizontal="center"/>
      <protection locked="0"/>
    </xf>
    <xf numFmtId="4" fontId="0" fillId="0" borderId="94" xfId="0" applyNumberFormat="1" applyBorder="1" applyAlignment="1">
      <alignment horizontal="center" vertical="center"/>
    </xf>
    <xf numFmtId="0" fontId="1" fillId="0" borderId="0" xfId="0" applyFont="1"/>
    <xf numFmtId="0" fontId="0" fillId="19" borderId="0" xfId="0" applyFill="1" applyAlignment="1">
      <alignment horizontal="center"/>
    </xf>
    <xf numFmtId="0" fontId="0" fillId="0" borderId="0" xfId="0" applyAlignment="1">
      <alignment vertical="center"/>
    </xf>
    <xf numFmtId="4" fontId="20" fillId="0" borderId="37" xfId="0" applyNumberFormat="1" applyFont="1" applyBorder="1" applyAlignment="1">
      <alignment horizontal="center" vertical="center" wrapText="1"/>
    </xf>
    <xf numFmtId="4" fontId="20" fillId="0" borderId="38" xfId="0" applyNumberFormat="1" applyFont="1" applyBorder="1" applyAlignment="1">
      <alignment horizontal="center" vertical="center" wrapText="1"/>
    </xf>
    <xf numFmtId="166" fontId="20" fillId="11" borderId="26" xfId="0" applyNumberFormat="1" applyFont="1" applyFill="1" applyBorder="1" applyAlignment="1">
      <alignment horizontal="center" vertical="center" wrapText="1"/>
    </xf>
    <xf numFmtId="166" fontId="20" fillId="0" borderId="26" xfId="0" applyNumberFormat="1" applyFont="1" applyBorder="1" applyAlignment="1">
      <alignment horizontal="center" vertical="center" wrapText="1"/>
    </xf>
    <xf numFmtId="4" fontId="20" fillId="0" borderId="39" xfId="0" applyNumberFormat="1" applyFont="1" applyBorder="1" applyAlignment="1">
      <alignment horizontal="center" vertical="center" wrapText="1"/>
    </xf>
    <xf numFmtId="4" fontId="20" fillId="0" borderId="29" xfId="0" applyNumberFormat="1" applyFont="1" applyBorder="1" applyAlignment="1">
      <alignment horizontal="center" vertical="center" wrapText="1"/>
    </xf>
    <xf numFmtId="4" fontId="20" fillId="0" borderId="95" xfId="0" applyNumberFormat="1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/>
    </xf>
    <xf numFmtId="0" fontId="25" fillId="0" borderId="101" xfId="0" applyFont="1" applyBorder="1" applyAlignment="1">
      <alignment horizontal="center" vertical="center" wrapText="1"/>
    </xf>
    <xf numFmtId="0" fontId="25" fillId="0" borderId="102" xfId="0" quotePrefix="1" applyFont="1" applyBorder="1" applyAlignment="1">
      <alignment horizontal="center" vertical="center"/>
    </xf>
    <xf numFmtId="0" fontId="25" fillId="0" borderId="10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6" fillId="24" borderId="14" xfId="0" applyFont="1" applyFill="1" applyBorder="1" applyAlignment="1" applyProtection="1">
      <alignment horizontal="left"/>
      <protection locked="0"/>
    </xf>
    <xf numFmtId="0" fontId="6" fillId="24" borderId="13" xfId="0" applyFont="1" applyFill="1" applyBorder="1" applyAlignment="1" applyProtection="1">
      <alignment horizontal="left"/>
      <protection locked="0"/>
    </xf>
    <xf numFmtId="0" fontId="4" fillId="24" borderId="14" xfId="0" applyFont="1" applyFill="1" applyBorder="1" applyAlignment="1" applyProtection="1">
      <alignment horizontal="center"/>
      <protection locked="0"/>
    </xf>
    <xf numFmtId="165" fontId="4" fillId="24" borderId="14" xfId="0" applyNumberFormat="1" applyFont="1" applyFill="1" applyBorder="1" applyProtection="1">
      <protection locked="0"/>
    </xf>
    <xf numFmtId="4" fontId="4" fillId="24" borderId="14" xfId="0" applyNumberFormat="1" applyFont="1" applyFill="1" applyBorder="1" applyProtection="1">
      <protection locked="0"/>
    </xf>
    <xf numFmtId="4" fontId="4" fillId="24" borderId="1" xfId="0" applyNumberFormat="1" applyFont="1" applyFill="1" applyBorder="1" applyAlignment="1">
      <alignment horizontal="center"/>
    </xf>
    <xf numFmtId="0" fontId="52" fillId="24" borderId="13" xfId="0" applyFont="1" applyFill="1" applyBorder="1"/>
    <xf numFmtId="4" fontId="6" fillId="24" borderId="1" xfId="0" applyNumberFormat="1" applyFont="1" applyFill="1" applyBorder="1" applyAlignment="1">
      <alignment horizontal="center" vertical="center"/>
    </xf>
    <xf numFmtId="4" fontId="6" fillId="24" borderId="13" xfId="0" applyNumberFormat="1" applyFont="1" applyFill="1" applyBorder="1" applyAlignment="1">
      <alignment horizontal="center" vertical="center"/>
    </xf>
    <xf numFmtId="10" fontId="5" fillId="24" borderId="15" xfId="5" applyNumberFormat="1" applyFont="1" applyFill="1" applyBorder="1" applyAlignment="1">
      <alignment horizontal="center" vertical="center"/>
    </xf>
    <xf numFmtId="0" fontId="4" fillId="24" borderId="14" xfId="0" applyFont="1" applyFill="1" applyBorder="1" applyAlignment="1">
      <alignment wrapText="1"/>
    </xf>
    <xf numFmtId="0" fontId="4" fillId="24" borderId="14" xfId="0" applyFont="1" applyFill="1" applyBorder="1" applyAlignment="1">
      <alignment horizontal="center"/>
    </xf>
    <xf numFmtId="165" fontId="4" fillId="24" borderId="14" xfId="0" applyNumberFormat="1" applyFont="1" applyFill="1" applyBorder="1"/>
    <xf numFmtId="165" fontId="1" fillId="24" borderId="14" xfId="0" applyNumberFormat="1" applyFont="1" applyFill="1" applyBorder="1"/>
    <xf numFmtId="4" fontId="4" fillId="24" borderId="15" xfId="0" applyNumberFormat="1" applyFont="1" applyFill="1" applyBorder="1"/>
    <xf numFmtId="0" fontId="1" fillId="3" borderId="0" xfId="0" applyFont="1" applyFill="1" applyAlignment="1" applyProtection="1">
      <alignment horizontal="left" vertical="center" wrapText="1"/>
      <protection locked="0"/>
    </xf>
    <xf numFmtId="4" fontId="2" fillId="23" borderId="1" xfId="0" applyNumberFormat="1" applyFont="1" applyFill="1" applyBorder="1" applyAlignment="1">
      <alignment horizontal="center" vertical="center"/>
    </xf>
    <xf numFmtId="4" fontId="1" fillId="23" borderId="1" xfId="0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center"/>
    </xf>
    <xf numFmtId="0" fontId="0" fillId="9" borderId="0" xfId="0" applyFill="1" applyAlignment="1">
      <alignment horizontal="center" wrapText="1"/>
    </xf>
    <xf numFmtId="0" fontId="0" fillId="26" borderId="0" xfId="0" applyFill="1"/>
    <xf numFmtId="0" fontId="0" fillId="26" borderId="0" xfId="0" applyFill="1" applyAlignment="1">
      <alignment wrapText="1"/>
    </xf>
    <xf numFmtId="4" fontId="0" fillId="26" borderId="0" xfId="0" applyNumberFormat="1" applyFill="1"/>
    <xf numFmtId="0" fontId="4" fillId="26" borderId="0" xfId="0" applyFont="1" applyFill="1"/>
    <xf numFmtId="0" fontId="4" fillId="26" borderId="0" xfId="0" applyFont="1" applyFill="1" applyAlignment="1">
      <alignment wrapText="1"/>
    </xf>
    <xf numFmtId="0" fontId="4" fillId="26" borderId="0" xfId="0" applyFont="1" applyFill="1" applyAlignment="1">
      <alignment horizontal="center"/>
    </xf>
    <xf numFmtId="165" fontId="4" fillId="26" borderId="0" xfId="0" applyNumberFormat="1" applyFont="1" applyFill="1"/>
    <xf numFmtId="4" fontId="4" fillId="26" borderId="0" xfId="0" applyNumberFormat="1" applyFont="1" applyFill="1"/>
    <xf numFmtId="0" fontId="0" fillId="26" borderId="0" xfId="0" applyFill="1" applyAlignment="1">
      <alignment horizontal="center"/>
    </xf>
    <xf numFmtId="0" fontId="0" fillId="26" borderId="0" xfId="0" applyFill="1" applyAlignment="1">
      <alignment horizontal="center" wrapText="1"/>
    </xf>
    <xf numFmtId="4" fontId="0" fillId="26" borderId="0" xfId="0" applyNumberFormat="1" applyFill="1" applyAlignment="1">
      <alignment horizontal="center"/>
    </xf>
    <xf numFmtId="4" fontId="80" fillId="26" borderId="0" xfId="0" applyNumberFormat="1" applyFont="1" applyFill="1" applyAlignment="1">
      <alignment horizontal="right"/>
    </xf>
    <xf numFmtId="0" fontId="12" fillId="5" borderId="24" xfId="0" applyFont="1" applyFill="1" applyBorder="1" applyAlignment="1">
      <alignment horizontal="left" vertical="center"/>
    </xf>
    <xf numFmtId="0" fontId="0" fillId="5" borderId="0" xfId="0" applyFill="1" applyAlignment="1">
      <alignment horizontal="center"/>
    </xf>
    <xf numFmtId="0" fontId="12" fillId="0" borderId="24" xfId="0" applyFont="1" applyBorder="1" applyAlignment="1">
      <alignment horizontal="left" vertical="center"/>
    </xf>
    <xf numFmtId="0" fontId="0" fillId="0" borderId="24" xfId="0" applyBorder="1" applyAlignment="1">
      <alignment horizontal="center" vertical="center" wrapText="1"/>
    </xf>
    <xf numFmtId="4" fontId="66" fillId="0" borderId="24" xfId="0" applyNumberFormat="1" applyFont="1" applyBorder="1" applyAlignment="1">
      <alignment horizontal="center" vertical="center" wrapText="1"/>
    </xf>
    <xf numFmtId="4" fontId="41" fillId="0" borderId="24" xfId="0" applyNumberFormat="1" applyFon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0" fontId="12" fillId="24" borderId="34" xfId="0" applyFont="1" applyFill="1" applyBorder="1" applyAlignment="1">
      <alignment horizontal="left"/>
    </xf>
    <xf numFmtId="0" fontId="0" fillId="24" borderId="35" xfId="0" applyFill="1" applyBorder="1" applyAlignment="1">
      <alignment horizontal="center" wrapText="1"/>
    </xf>
    <xf numFmtId="0" fontId="0" fillId="24" borderId="35" xfId="0" applyFill="1" applyBorder="1" applyAlignment="1">
      <alignment horizontal="center"/>
    </xf>
    <xf numFmtId="0" fontId="20" fillId="24" borderId="35" xfId="0" applyFont="1" applyFill="1" applyBorder="1" applyAlignment="1">
      <alignment horizontal="center"/>
    </xf>
    <xf numFmtId="4" fontId="0" fillId="24" borderId="36" xfId="0" applyNumberFormat="1" applyFill="1" applyBorder="1" applyAlignment="1">
      <alignment horizontal="center"/>
    </xf>
    <xf numFmtId="0" fontId="12" fillId="25" borderId="24" xfId="0" applyFont="1" applyFill="1" applyBorder="1" applyAlignment="1">
      <alignment horizontal="left" vertical="center"/>
    </xf>
    <xf numFmtId="0" fontId="0" fillId="25" borderId="24" xfId="0" applyFill="1" applyBorder="1" applyAlignment="1">
      <alignment horizontal="center" vertical="center" wrapText="1"/>
    </xf>
    <xf numFmtId="0" fontId="0" fillId="25" borderId="24" xfId="0" applyFill="1" applyBorder="1" applyAlignment="1">
      <alignment horizontal="center" vertical="center"/>
    </xf>
    <xf numFmtId="4" fontId="0" fillId="25" borderId="24" xfId="0" applyNumberFormat="1" applyFill="1" applyBorder="1" applyAlignment="1">
      <alignment horizontal="center" vertical="center" wrapText="1"/>
    </xf>
    <xf numFmtId="0" fontId="12" fillId="25" borderId="24" xfId="0" applyFont="1" applyFill="1" applyBorder="1" applyAlignment="1">
      <alignment horizontal="left"/>
    </xf>
    <xf numFmtId="0" fontId="0" fillId="25" borderId="24" xfId="0" applyFill="1" applyBorder="1" applyAlignment="1">
      <alignment horizontal="center" wrapText="1"/>
    </xf>
    <xf numFmtId="0" fontId="0" fillId="25" borderId="24" xfId="0" applyFill="1" applyBorder="1" applyAlignment="1">
      <alignment horizontal="center"/>
    </xf>
    <xf numFmtId="0" fontId="20" fillId="25" borderId="24" xfId="0" applyFont="1" applyFill="1" applyBorder="1" applyAlignment="1">
      <alignment horizontal="center"/>
    </xf>
    <xf numFmtId="4" fontId="0" fillId="25" borderId="24" xfId="0" applyNumberFormat="1" applyFill="1" applyBorder="1" applyAlignment="1">
      <alignment horizontal="center"/>
    </xf>
    <xf numFmtId="0" fontId="12" fillId="5" borderId="34" xfId="0" applyFont="1" applyFill="1" applyBorder="1" applyAlignment="1">
      <alignment horizontal="left"/>
    </xf>
    <xf numFmtId="0" fontId="0" fillId="5" borderId="35" xfId="0" applyFill="1" applyBorder="1" applyAlignment="1">
      <alignment horizontal="center" wrapText="1"/>
    </xf>
    <xf numFmtId="0" fontId="0" fillId="5" borderId="35" xfId="0" applyFill="1" applyBorder="1" applyAlignment="1">
      <alignment horizontal="center"/>
    </xf>
    <xf numFmtId="4" fontId="67" fillId="5" borderId="24" xfId="0" applyNumberFormat="1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5" fillId="5" borderId="13" xfId="0" applyNumberFormat="1" applyFont="1" applyFill="1" applyBorder="1" applyAlignment="1">
      <alignment vertical="center" wrapText="1"/>
    </xf>
    <xf numFmtId="4" fontId="5" fillId="5" borderId="14" xfId="0" applyNumberFormat="1" applyFont="1" applyFill="1" applyBorder="1" applyAlignment="1">
      <alignment vertical="center" wrapText="1"/>
    </xf>
    <xf numFmtId="4" fontId="5" fillId="5" borderId="15" xfId="0" applyNumberFormat="1" applyFont="1" applyFill="1" applyBorder="1" applyAlignment="1">
      <alignment vertical="center" wrapText="1"/>
    </xf>
    <xf numFmtId="0" fontId="0" fillId="9" borderId="0" xfId="0" applyFill="1"/>
    <xf numFmtId="4" fontId="4" fillId="3" borderId="29" xfId="0" applyNumberFormat="1" applyFont="1" applyFill="1" applyBorder="1" applyAlignment="1" applyProtection="1">
      <alignment horizontal="center" vertical="center"/>
      <protection locked="0"/>
    </xf>
    <xf numFmtId="0" fontId="80" fillId="26" borderId="0" xfId="0" applyFont="1" applyFill="1" applyAlignment="1">
      <alignment horizontal="right"/>
    </xf>
    <xf numFmtId="169" fontId="25" fillId="0" borderId="103" xfId="0" applyNumberFormat="1" applyFont="1" applyBorder="1"/>
    <xf numFmtId="169" fontId="25" fillId="3" borderId="103" xfId="0" applyNumberFormat="1" applyFont="1" applyFill="1" applyBorder="1"/>
    <xf numFmtId="0" fontId="60" fillId="25" borderId="96" xfId="0" applyFont="1" applyFill="1" applyBorder="1" applyAlignment="1">
      <alignment horizontal="center" vertical="center"/>
    </xf>
    <xf numFmtId="0" fontId="61" fillId="25" borderId="98" xfId="0" applyFont="1" applyFill="1" applyBorder="1" applyAlignment="1">
      <alignment horizontal="center" vertical="center" wrapText="1"/>
    </xf>
    <xf numFmtId="0" fontId="61" fillId="25" borderId="99" xfId="0" applyFont="1" applyFill="1" applyBorder="1" applyAlignment="1">
      <alignment horizontal="center" vertical="center" wrapText="1"/>
    </xf>
    <xf numFmtId="0" fontId="61" fillId="25" borderId="100" xfId="0" applyFont="1" applyFill="1" applyBorder="1" applyAlignment="1">
      <alignment horizontal="center" vertical="center" wrapText="1"/>
    </xf>
    <xf numFmtId="0" fontId="6" fillId="24" borderId="85" xfId="0" applyFont="1" applyFill="1" applyBorder="1"/>
    <xf numFmtId="0" fontId="6" fillId="24" borderId="14" xfId="0" applyFont="1" applyFill="1" applyBorder="1" applyAlignment="1">
      <alignment wrapText="1"/>
    </xf>
    <xf numFmtId="0" fontId="0" fillId="24" borderId="14" xfId="0" applyFill="1" applyBorder="1"/>
    <xf numFmtId="0" fontId="0" fillId="24" borderId="15" xfId="0" applyFill="1" applyBorder="1"/>
    <xf numFmtId="0" fontId="6" fillId="24" borderId="13" xfId="0" applyFont="1" applyFill="1" applyBorder="1"/>
    <xf numFmtId="0" fontId="6" fillId="24" borderId="14" xfId="0" applyFont="1" applyFill="1" applyBorder="1"/>
    <xf numFmtId="49" fontId="1" fillId="3" borderId="2" xfId="0" applyNumberFormat="1" applyFont="1" applyFill="1" applyBorder="1" applyProtection="1">
      <protection locked="0"/>
    </xf>
    <xf numFmtId="0" fontId="1" fillId="3" borderId="0" xfId="0" applyFont="1" applyFill="1" applyAlignment="1" applyProtection="1">
      <alignment wrapText="1"/>
      <protection locked="0"/>
    </xf>
    <xf numFmtId="4" fontId="1" fillId="3" borderId="29" xfId="0" applyNumberFormat="1" applyFont="1" applyFill="1" applyBorder="1" applyProtection="1">
      <protection locked="0"/>
    </xf>
    <xf numFmtId="4" fontId="4" fillId="3" borderId="29" xfId="0" applyNumberFormat="1" applyFont="1" applyFill="1" applyBorder="1" applyAlignment="1" applyProtection="1">
      <alignment horizontal="center"/>
      <protection locked="0"/>
    </xf>
    <xf numFmtId="4" fontId="0" fillId="3" borderId="29" xfId="0" applyNumberFormat="1" applyFill="1" applyBorder="1"/>
    <xf numFmtId="4" fontId="4" fillId="3" borderId="8" xfId="0" applyNumberFormat="1" applyFont="1" applyFill="1" applyBorder="1" applyAlignment="1">
      <alignment horizontal="center"/>
    </xf>
    <xf numFmtId="4" fontId="4" fillId="3" borderId="29" xfId="0" applyNumberFormat="1" applyFont="1" applyFill="1" applyBorder="1" applyProtection="1">
      <protection locked="0"/>
    </xf>
    <xf numFmtId="49" fontId="4" fillId="3" borderId="2" xfId="0" applyNumberFormat="1" applyFont="1" applyFill="1" applyBorder="1" applyProtection="1">
      <protection locked="0"/>
    </xf>
    <xf numFmtId="0" fontId="1" fillId="3" borderId="0" xfId="0" applyFont="1" applyFill="1" applyAlignment="1">
      <alignment wrapText="1"/>
    </xf>
    <xf numFmtId="49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80" xfId="0" applyNumberFormat="1" applyFont="1" applyFill="1" applyBorder="1" applyAlignment="1" applyProtection="1">
      <alignment horizontal="center" vertical="center"/>
      <protection locked="0"/>
    </xf>
    <xf numFmtId="4" fontId="4" fillId="3" borderId="8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left"/>
      <protection locked="0"/>
    </xf>
    <xf numFmtId="0" fontId="1" fillId="3" borderId="0" xfId="0" quotePrefix="1" applyFont="1" applyFill="1" applyAlignment="1" applyProtection="1">
      <alignment horizontal="left" vertical="center" wrapText="1"/>
      <protection locked="0"/>
    </xf>
    <xf numFmtId="4" fontId="4" fillId="3" borderId="52" xfId="0" applyNumberFormat="1" applyFont="1" applyFill="1" applyBorder="1" applyAlignment="1" applyProtection="1">
      <alignment horizontal="center"/>
      <protection locked="0"/>
    </xf>
    <xf numFmtId="4" fontId="1" fillId="3" borderId="55" xfId="0" applyNumberFormat="1" applyFont="1" applyFill="1" applyBorder="1" applyAlignment="1" applyProtection="1">
      <alignment horizontal="center" vertical="center"/>
      <protection locked="0"/>
    </xf>
    <xf numFmtId="1" fontId="10" fillId="25" borderId="24" xfId="0" applyNumberFormat="1" applyFont="1" applyFill="1" applyBorder="1" applyAlignment="1">
      <alignment horizontal="center"/>
    </xf>
    <xf numFmtId="1" fontId="10" fillId="25" borderId="24" xfId="0" applyNumberFormat="1" applyFont="1" applyFill="1" applyBorder="1" applyAlignment="1">
      <alignment horizontal="center" wrapText="1"/>
    </xf>
    <xf numFmtId="1" fontId="20" fillId="25" borderId="24" xfId="0" applyNumberFormat="1" applyFont="1" applyFill="1" applyBorder="1" applyAlignment="1">
      <alignment horizontal="center"/>
    </xf>
    <xf numFmtId="4" fontId="0" fillId="24" borderId="14" xfId="0" applyNumberFormat="1" applyFill="1" applyBorder="1"/>
    <xf numFmtId="4" fontId="0" fillId="24" borderId="15" xfId="0" applyNumberFormat="1" applyFill="1" applyBorder="1"/>
    <xf numFmtId="0" fontId="0" fillId="3" borderId="28" xfId="0" applyFill="1" applyBorder="1" applyAlignment="1">
      <alignment horizontal="left" vertical="center"/>
    </xf>
    <xf numFmtId="0" fontId="0" fillId="3" borderId="29" xfId="0" applyFill="1" applyBorder="1" applyAlignment="1">
      <alignment horizontal="center" wrapText="1"/>
    </xf>
    <xf numFmtId="0" fontId="0" fillId="3" borderId="29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/>
    </xf>
    <xf numFmtId="4" fontId="20" fillId="3" borderId="38" xfId="0" applyNumberFormat="1" applyFont="1" applyFill="1" applyBorder="1" applyAlignment="1">
      <alignment horizontal="center" vertical="center" wrapText="1"/>
    </xf>
    <xf numFmtId="4" fontId="0" fillId="3" borderId="30" xfId="0" applyNumberFormat="1" applyFill="1" applyBorder="1" applyAlignment="1">
      <alignment horizontal="center" vertical="center"/>
    </xf>
    <xf numFmtId="0" fontId="0" fillId="3" borderId="31" xfId="0" applyFill="1" applyBorder="1" applyAlignment="1">
      <alignment horizontal="left" vertical="center"/>
    </xf>
    <xf numFmtId="0" fontId="0" fillId="3" borderId="32" xfId="0" applyFill="1" applyBorder="1" applyAlignment="1">
      <alignment horizont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/>
    </xf>
    <xf numFmtId="4" fontId="20" fillId="3" borderId="37" xfId="0" applyNumberFormat="1" applyFont="1" applyFill="1" applyBorder="1" applyAlignment="1">
      <alignment horizontal="center" vertical="center" wrapText="1"/>
    </xf>
    <xf numFmtId="4" fontId="86" fillId="9" borderId="0" xfId="0" applyNumberFormat="1" applyFont="1" applyFill="1" applyAlignment="1">
      <alignment horizontal="right"/>
    </xf>
    <xf numFmtId="0" fontId="86" fillId="9" borderId="0" xfId="0" applyFont="1" applyFill="1" applyAlignment="1">
      <alignment horizontal="right"/>
    </xf>
    <xf numFmtId="0" fontId="0" fillId="26" borderId="2" xfId="0" applyFill="1" applyBorder="1" applyAlignment="1">
      <alignment horizontal="center"/>
    </xf>
    <xf numFmtId="166" fontId="0" fillId="26" borderId="16" xfId="0" applyNumberFormat="1" applyFill="1" applyBorder="1" applyAlignment="1">
      <alignment wrapText="1"/>
    </xf>
    <xf numFmtId="166" fontId="0" fillId="26" borderId="16" xfId="0" applyNumberFormat="1" applyFill="1" applyBorder="1" applyAlignment="1">
      <alignment horizontal="center"/>
    </xf>
    <xf numFmtId="0" fontId="78" fillId="9" borderId="0" xfId="0" applyFont="1" applyFill="1"/>
    <xf numFmtId="0" fontId="78" fillId="9" borderId="0" xfId="0" applyFont="1" applyFill="1" applyAlignment="1">
      <alignment wrapText="1"/>
    </xf>
    <xf numFmtId="4" fontId="78" fillId="9" borderId="0" xfId="0" applyNumberFormat="1" applyFont="1" applyFill="1"/>
    <xf numFmtId="170" fontId="32" fillId="28" borderId="0" xfId="6" applyNumberFormat="1" applyFont="1" applyFill="1" applyAlignment="1">
      <alignment vertical="top"/>
    </xf>
    <xf numFmtId="170" fontId="70" fillId="28" borderId="0" xfId="6" applyNumberFormat="1" applyFont="1" applyFill="1" applyAlignment="1">
      <alignment horizontal="right"/>
    </xf>
    <xf numFmtId="0" fontId="0" fillId="28" borderId="0" xfId="0" applyFill="1" applyAlignment="1">
      <alignment horizontal="center"/>
    </xf>
    <xf numFmtId="4" fontId="0" fillId="28" borderId="0" xfId="0" applyNumberFormat="1" applyFill="1" applyAlignment="1">
      <alignment horizontal="center"/>
    </xf>
    <xf numFmtId="166" fontId="86" fillId="28" borderId="0" xfId="0" applyNumberFormat="1" applyFont="1" applyFill="1" applyAlignment="1">
      <alignment horizontal="right"/>
    </xf>
    <xf numFmtId="0" fontId="12" fillId="5" borderId="0" xfId="0" applyFont="1" applyFill="1" applyAlignment="1">
      <alignment horizontal="center"/>
    </xf>
    <xf numFmtId="0" fontId="62" fillId="3" borderId="29" xfId="0" applyFont="1" applyFill="1" applyBorder="1" applyAlignment="1">
      <alignment horizontal="center"/>
    </xf>
    <xf numFmtId="10" fontId="25" fillId="3" borderId="80" xfId="5" applyNumberFormat="1" applyFont="1" applyFill="1" applyBorder="1" applyAlignment="1">
      <alignment horizontal="center"/>
    </xf>
    <xf numFmtId="0" fontId="0" fillId="27" borderId="91" xfId="0" applyFill="1" applyBorder="1" applyAlignment="1">
      <alignment horizontal="center"/>
    </xf>
    <xf numFmtId="171" fontId="25" fillId="0" borderId="76" xfId="0" applyNumberFormat="1" applyFont="1" applyBorder="1" applyAlignment="1">
      <alignment horizontal="center"/>
    </xf>
    <xf numFmtId="166" fontId="25" fillId="0" borderId="79" xfId="0" applyNumberFormat="1" applyFont="1" applyBorder="1" applyAlignment="1">
      <alignment horizontal="center"/>
    </xf>
    <xf numFmtId="10" fontId="25" fillId="0" borderId="80" xfId="5" applyNumberFormat="1" applyFont="1" applyFill="1" applyBorder="1" applyAlignment="1">
      <alignment horizontal="center"/>
    </xf>
    <xf numFmtId="10" fontId="25" fillId="0" borderId="55" xfId="5" applyNumberFormat="1" applyFont="1" applyFill="1" applyBorder="1" applyAlignment="1">
      <alignment horizontal="center"/>
    </xf>
    <xf numFmtId="0" fontId="87" fillId="9" borderId="0" xfId="0" applyFont="1" applyFill="1" applyAlignment="1">
      <alignment horizontal="right"/>
    </xf>
    <xf numFmtId="0" fontId="0" fillId="25" borderId="41" xfId="0" applyFill="1" applyBorder="1" applyAlignment="1">
      <alignment horizontal="center" vertical="center" wrapText="1"/>
    </xf>
    <xf numFmtId="0" fontId="25" fillId="3" borderId="97" xfId="0" applyFont="1" applyFill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/>
    </xf>
    <xf numFmtId="4" fontId="30" fillId="0" borderId="76" xfId="0" applyNumberFormat="1" applyFont="1" applyBorder="1" applyAlignment="1">
      <alignment horizontal="center" vertical="center" wrapText="1"/>
    </xf>
    <xf numFmtId="4" fontId="30" fillId="0" borderId="111" xfId="0" applyNumberFormat="1" applyFont="1" applyBorder="1" applyAlignment="1">
      <alignment horizontal="center"/>
    </xf>
    <xf numFmtId="0" fontId="25" fillId="3" borderId="86" xfId="0" applyFont="1" applyFill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 wrapText="1"/>
    </xf>
    <xf numFmtId="0" fontId="25" fillId="3" borderId="112" xfId="0" applyFont="1" applyFill="1" applyBorder="1" applyAlignment="1">
      <alignment horizontal="center" vertical="center"/>
    </xf>
    <xf numFmtId="167" fontId="29" fillId="0" borderId="110" xfId="0" applyNumberFormat="1" applyFont="1" applyBorder="1" applyAlignment="1">
      <alignment horizontal="center" vertical="center" wrapText="1"/>
    </xf>
    <xf numFmtId="4" fontId="25" fillId="0" borderId="114" xfId="0" applyNumberFormat="1" applyFont="1" applyBorder="1" applyAlignment="1">
      <alignment horizontal="center" vertical="center" wrapText="1"/>
    </xf>
    <xf numFmtId="0" fontId="25" fillId="3" borderId="74" xfId="0" applyFont="1" applyFill="1" applyBorder="1" applyAlignment="1">
      <alignment horizontal="center" vertical="center"/>
    </xf>
    <xf numFmtId="4" fontId="30" fillId="0" borderId="116" xfId="0" applyNumberFormat="1" applyFont="1" applyBorder="1" applyAlignment="1">
      <alignment horizontal="center" vertical="center" wrapText="1"/>
    </xf>
    <xf numFmtId="4" fontId="30" fillId="0" borderId="38" xfId="0" applyNumberFormat="1" applyFont="1" applyBorder="1" applyAlignment="1">
      <alignment horizontal="center"/>
    </xf>
    <xf numFmtId="4" fontId="30" fillId="0" borderId="117" xfId="0" applyNumberFormat="1" applyFont="1" applyBorder="1" applyAlignment="1">
      <alignment horizontal="center"/>
    </xf>
    <xf numFmtId="4" fontId="30" fillId="0" borderId="118" xfId="0" applyNumberFormat="1" applyFont="1" applyBorder="1" applyAlignment="1">
      <alignment horizontal="center"/>
    </xf>
    <xf numFmtId="0" fontId="25" fillId="3" borderId="87" xfId="0" applyFont="1" applyFill="1" applyBorder="1" applyAlignment="1">
      <alignment horizontal="center" vertical="center"/>
    </xf>
    <xf numFmtId="4" fontId="30" fillId="0" borderId="114" xfId="0" applyNumberFormat="1" applyFont="1" applyBorder="1" applyAlignment="1">
      <alignment horizontal="center" vertical="center" wrapText="1"/>
    </xf>
    <xf numFmtId="4" fontId="30" fillId="18" borderId="32" xfId="0" applyNumberFormat="1" applyFont="1" applyFill="1" applyBorder="1" applyAlignment="1">
      <alignment horizontal="center"/>
    </xf>
    <xf numFmtId="4" fontId="30" fillId="18" borderId="84" xfId="0" applyNumberFormat="1" applyFont="1" applyFill="1" applyBorder="1" applyAlignment="1">
      <alignment horizontal="center"/>
    </xf>
    <xf numFmtId="0" fontId="12" fillId="5" borderId="13" xfId="0" applyFont="1" applyFill="1" applyBorder="1" applyAlignment="1">
      <alignment horizontal="center"/>
    </xf>
    <xf numFmtId="0" fontId="12" fillId="5" borderId="14" xfId="0" applyFont="1" applyFill="1" applyBorder="1" applyAlignment="1">
      <alignment horizontal="center"/>
    </xf>
    <xf numFmtId="4" fontId="6" fillId="24" borderId="14" xfId="0" applyNumberFormat="1" applyFont="1" applyFill="1" applyBorder="1" applyAlignment="1">
      <alignment horizontal="center" vertical="center"/>
    </xf>
    <xf numFmtId="0" fontId="1" fillId="24" borderId="91" xfId="0" applyFont="1" applyFill="1" applyBorder="1" applyAlignment="1">
      <alignment horizontal="center" wrapText="1"/>
    </xf>
    <xf numFmtId="0" fontId="1" fillId="24" borderId="88" xfId="0" applyFont="1" applyFill="1" applyBorder="1" applyAlignment="1">
      <alignment horizontal="center" vertical="center" wrapText="1"/>
    </xf>
    <xf numFmtId="0" fontId="1" fillId="24" borderId="88" xfId="0" applyFont="1" applyFill="1" applyBorder="1"/>
    <xf numFmtId="0" fontId="1" fillId="24" borderId="89" xfId="0" applyFont="1" applyFill="1" applyBorder="1" applyAlignment="1">
      <alignment horizontal="center" vertical="center" wrapText="1"/>
    </xf>
    <xf numFmtId="2" fontId="25" fillId="0" borderId="38" xfId="0" applyNumberFormat="1" applyFont="1" applyBorder="1" applyAlignment="1">
      <alignment horizontal="center"/>
    </xf>
    <xf numFmtId="2" fontId="25" fillId="3" borderId="38" xfId="0" applyNumberFormat="1" applyFont="1" applyFill="1" applyBorder="1" applyAlignment="1">
      <alignment horizontal="center"/>
    </xf>
    <xf numFmtId="171" fontId="25" fillId="0" borderId="116" xfId="0" applyNumberFormat="1" applyFont="1" applyBorder="1" applyAlignment="1">
      <alignment horizontal="center"/>
    </xf>
    <xf numFmtId="2" fontId="25" fillId="0" borderId="53" xfId="0" applyNumberFormat="1" applyFont="1" applyBorder="1" applyAlignment="1">
      <alignment horizontal="center"/>
    </xf>
    <xf numFmtId="0" fontId="0" fillId="27" borderId="91" xfId="0" applyFill="1" applyBorder="1" applyAlignment="1">
      <alignment horizontal="center" vertical="center" wrapText="1"/>
    </xf>
    <xf numFmtId="0" fontId="0" fillId="27" borderId="88" xfId="0" applyFill="1" applyBorder="1" applyAlignment="1">
      <alignment horizontal="center" vertical="center" wrapText="1"/>
    </xf>
    <xf numFmtId="4" fontId="0" fillId="27" borderId="88" xfId="0" applyNumberFormat="1" applyFill="1" applyBorder="1" applyAlignment="1">
      <alignment horizontal="center" vertical="center" wrapText="1"/>
    </xf>
    <xf numFmtId="4" fontId="0" fillId="27" borderId="119" xfId="0" applyNumberFormat="1" applyFill="1" applyBorder="1" applyAlignment="1">
      <alignment horizontal="center" vertical="center" wrapText="1"/>
    </xf>
    <xf numFmtId="166" fontId="0" fillId="27" borderId="89" xfId="0" applyNumberFormat="1" applyFill="1" applyBorder="1" applyAlignment="1">
      <alignment horizontal="center" vertical="center"/>
    </xf>
    <xf numFmtId="49" fontId="1" fillId="0" borderId="2" xfId="0" quotePrefix="1" applyNumberFormat="1" applyFont="1" applyBorder="1" applyAlignment="1" applyProtection="1">
      <alignment horizontal="center" vertical="center" wrapText="1"/>
      <protection locked="0"/>
    </xf>
    <xf numFmtId="167" fontId="4" fillId="3" borderId="29" xfId="0" applyNumberFormat="1" applyFont="1" applyFill="1" applyBorder="1" applyAlignment="1" applyProtection="1">
      <alignment horizontal="center" vertical="center"/>
      <protection locked="0"/>
    </xf>
    <xf numFmtId="4" fontId="0" fillId="0" borderId="24" xfId="0" applyNumberFormat="1" applyBorder="1" applyAlignment="1">
      <alignment horizontal="center" vertical="center" wrapText="1"/>
    </xf>
    <xf numFmtId="4" fontId="1" fillId="0" borderId="79" xfId="0" applyNumberFormat="1" applyFont="1" applyBorder="1" applyAlignment="1">
      <alignment horizontal="center"/>
    </xf>
    <xf numFmtId="4" fontId="1" fillId="3" borderId="80" xfId="0" applyNumberFormat="1" applyFont="1" applyFill="1" applyBorder="1" applyAlignment="1">
      <alignment horizontal="center"/>
    </xf>
    <xf numFmtId="4" fontId="1" fillId="0" borderId="80" xfId="0" applyNumberFormat="1" applyFont="1" applyBorder="1" applyAlignment="1">
      <alignment horizontal="center"/>
    </xf>
    <xf numFmtId="4" fontId="1" fillId="3" borderId="8" xfId="0" applyNumberFormat="1" applyFont="1" applyFill="1" applyBorder="1" applyAlignment="1">
      <alignment horizontal="center"/>
    </xf>
    <xf numFmtId="10" fontId="4" fillId="24" borderId="14" xfId="5" applyNumberFormat="1" applyFont="1" applyFill="1" applyBorder="1" applyAlignment="1">
      <alignment horizontal="left" wrapText="1"/>
    </xf>
    <xf numFmtId="0" fontId="25" fillId="8" borderId="31" xfId="0" applyFont="1" applyFill="1" applyBorder="1"/>
    <xf numFmtId="169" fontId="26" fillId="8" borderId="32" xfId="0" applyNumberFormat="1" applyFont="1" applyFill="1" applyBorder="1" applyAlignment="1">
      <alignment horizontal="center" vertical="center"/>
    </xf>
    <xf numFmtId="10" fontId="27" fillId="8" borderId="32" xfId="5" applyNumberFormat="1" applyFont="1" applyFill="1" applyBorder="1" applyAlignment="1">
      <alignment horizontal="center" vertical="center"/>
    </xf>
    <xf numFmtId="10" fontId="28" fillId="8" borderId="33" xfId="5" applyNumberFormat="1" applyFont="1" applyFill="1" applyBorder="1" applyAlignment="1">
      <alignment horizontal="center" vertical="center"/>
    </xf>
    <xf numFmtId="0" fontId="50" fillId="0" borderId="0" xfId="0" applyFont="1" applyAlignment="1">
      <alignment horizontal="left"/>
    </xf>
    <xf numFmtId="0" fontId="34" fillId="14" borderId="121" xfId="0" applyFont="1" applyFill="1" applyBorder="1" applyAlignment="1" applyProtection="1">
      <alignment horizontal="center" vertical="center" wrapText="1"/>
      <protection locked="0"/>
    </xf>
    <xf numFmtId="0" fontId="33" fillId="13" borderId="122" xfId="0" applyFont="1" applyFill="1" applyBorder="1" applyAlignment="1" applyProtection="1">
      <alignment horizontal="center" vertical="center" wrapText="1"/>
      <protection locked="0"/>
    </xf>
    <xf numFmtId="0" fontId="44" fillId="13" borderId="122" xfId="0" applyFont="1" applyFill="1" applyBorder="1" applyAlignment="1" applyProtection="1">
      <alignment horizontal="center" vertical="center" wrapText="1"/>
      <protection locked="0"/>
    </xf>
    <xf numFmtId="0" fontId="45" fillId="20" borderId="122" xfId="0" applyFont="1" applyFill="1" applyBorder="1" applyAlignment="1">
      <alignment horizontal="center" vertical="center" wrapText="1"/>
    </xf>
    <xf numFmtId="0" fontId="46" fillId="22" borderId="122" xfId="0" applyFont="1" applyFill="1" applyBorder="1" applyAlignment="1">
      <alignment horizontal="center" vertical="center" wrapText="1"/>
    </xf>
    <xf numFmtId="0" fontId="46" fillId="4" borderId="1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3" fillId="15" borderId="124" xfId="0" applyNumberFormat="1" applyFont="1" applyFill="1" applyBorder="1" applyAlignment="1" applyProtection="1">
      <alignment horizontal="center" vertical="top"/>
      <protection locked="0"/>
    </xf>
    <xf numFmtId="4" fontId="33" fillId="15" borderId="125" xfId="0" applyNumberFormat="1" applyFont="1" applyFill="1" applyBorder="1" applyAlignment="1" applyProtection="1">
      <alignment horizontal="center" vertical="top"/>
      <protection locked="0"/>
    </xf>
    <xf numFmtId="170" fontId="39" fillId="20" borderId="126" xfId="6" applyNumberFormat="1" applyFont="1" applyFill="1" applyBorder="1" applyAlignment="1">
      <alignment horizontal="center" vertical="top"/>
    </xf>
    <xf numFmtId="0" fontId="0" fillId="22" borderId="125" xfId="0" applyFill="1" applyBorder="1" applyAlignment="1">
      <alignment horizontal="center"/>
    </xf>
    <xf numFmtId="0" fontId="0" fillId="4" borderId="127" xfId="0" applyFill="1" applyBorder="1" applyAlignment="1">
      <alignment horizontal="center"/>
    </xf>
    <xf numFmtId="4" fontId="33" fillId="15" borderId="124" xfId="0" applyNumberFormat="1" applyFont="1" applyFill="1" applyBorder="1" applyAlignment="1" applyProtection="1">
      <alignment horizontal="center" vertical="top"/>
      <protection locked="0"/>
    </xf>
    <xf numFmtId="170" fontId="39" fillId="20" borderId="124" xfId="6" applyNumberFormat="1" applyFont="1" applyFill="1" applyBorder="1" applyAlignment="1">
      <alignment horizontal="center" vertical="top"/>
    </xf>
    <xf numFmtId="0" fontId="0" fillId="22" borderId="124" xfId="0" applyFill="1" applyBorder="1" applyAlignment="1">
      <alignment horizontal="center"/>
    </xf>
    <xf numFmtId="0" fontId="34" fillId="14" borderId="128" xfId="0" applyFont="1" applyFill="1" applyBorder="1" applyAlignment="1" applyProtection="1">
      <alignment horizontal="center" vertical="center" wrapText="1"/>
      <protection locked="0"/>
    </xf>
    <xf numFmtId="3" fontId="17" fillId="15" borderId="124" xfId="0" applyNumberFormat="1" applyFont="1" applyFill="1" applyBorder="1" applyAlignment="1" applyProtection="1">
      <alignment horizontal="center" vertical="top"/>
      <protection locked="0"/>
    </xf>
    <xf numFmtId="170" fontId="32" fillId="20" borderId="124" xfId="6" applyNumberFormat="1" applyFont="1" applyFill="1" applyBorder="1" applyAlignment="1">
      <alignment horizontal="center" vertical="top"/>
    </xf>
    <xf numFmtId="4" fontId="32" fillId="22" borderId="124" xfId="0" applyNumberFormat="1" applyFont="1" applyFill="1" applyBorder="1" applyAlignment="1">
      <alignment horizontal="center"/>
    </xf>
    <xf numFmtId="4" fontId="33" fillId="15" borderId="129" xfId="0" applyNumberFormat="1" applyFont="1" applyFill="1" applyBorder="1" applyAlignment="1" applyProtection="1">
      <alignment horizontal="center" vertical="top"/>
      <protection locked="0"/>
    </xf>
    <xf numFmtId="170" fontId="32" fillId="20" borderId="130" xfId="6" applyNumberFormat="1" applyFont="1" applyFill="1" applyBorder="1" applyAlignment="1">
      <alignment horizontal="center" vertical="top"/>
    </xf>
    <xf numFmtId="0" fontId="0" fillId="22" borderId="129" xfId="0" applyFill="1" applyBorder="1" applyAlignment="1">
      <alignment horizontal="center"/>
    </xf>
    <xf numFmtId="10" fontId="25" fillId="0" borderId="38" xfId="5" applyNumberFormat="1" applyFont="1" applyBorder="1" applyAlignment="1">
      <alignment horizontal="center"/>
    </xf>
    <xf numFmtId="10" fontId="25" fillId="3" borderId="38" xfId="5" applyNumberFormat="1" applyFont="1" applyFill="1" applyBorder="1" applyAlignment="1">
      <alignment horizontal="center"/>
    </xf>
    <xf numFmtId="10" fontId="25" fillId="0" borderId="53" xfId="5" applyNumberFormat="1" applyFont="1" applyBorder="1" applyAlignment="1">
      <alignment horizontal="center"/>
    </xf>
    <xf numFmtId="10" fontId="25" fillId="0" borderId="29" xfId="5" applyNumberFormat="1" applyFont="1" applyBorder="1" applyAlignment="1">
      <alignment horizontal="center"/>
    </xf>
    <xf numFmtId="10" fontId="25" fillId="3" borderId="29" xfId="5" applyNumberFormat="1" applyFont="1" applyFill="1" applyBorder="1" applyAlignment="1">
      <alignment horizontal="center"/>
    </xf>
    <xf numFmtId="10" fontId="25" fillId="0" borderId="52" xfId="5" applyNumberFormat="1" applyFont="1" applyBorder="1" applyAlignment="1">
      <alignment horizontal="center"/>
    </xf>
    <xf numFmtId="1" fontId="25" fillId="3" borderId="112" xfId="0" quotePrefix="1" applyNumberFormat="1" applyFont="1" applyFill="1" applyBorder="1" applyAlignment="1">
      <alignment horizontal="center" vertical="center"/>
    </xf>
    <xf numFmtId="1" fontId="30" fillId="0" borderId="115" xfId="0" applyNumberFormat="1" applyFont="1" applyBorder="1" applyAlignment="1">
      <alignment horizontal="center"/>
    </xf>
    <xf numFmtId="1" fontId="25" fillId="3" borderId="74" xfId="0" applyNumberFormat="1" applyFont="1" applyFill="1" applyBorder="1" applyAlignment="1">
      <alignment horizontal="center" vertical="center"/>
    </xf>
    <xf numFmtId="1" fontId="25" fillId="0" borderId="115" xfId="0" applyNumberFormat="1" applyFont="1" applyBorder="1" applyAlignment="1">
      <alignment horizontal="center"/>
    </xf>
    <xf numFmtId="1" fontId="30" fillId="0" borderId="113" xfId="0" quotePrefix="1" applyNumberFormat="1" applyFont="1" applyBorder="1" applyAlignment="1">
      <alignment horizontal="center"/>
    </xf>
    <xf numFmtId="1" fontId="25" fillId="3" borderId="112" xfId="0" applyNumberFormat="1" applyFont="1" applyFill="1" applyBorder="1" applyAlignment="1">
      <alignment horizontal="center" vertical="center"/>
    </xf>
    <xf numFmtId="4" fontId="25" fillId="3" borderId="86" xfId="0" applyNumberFormat="1" applyFont="1" applyFill="1" applyBorder="1" applyAlignment="1">
      <alignment horizontal="center" vertical="center"/>
    </xf>
    <xf numFmtId="4" fontId="12" fillId="5" borderId="14" xfId="0" applyNumberFormat="1" applyFont="1" applyFill="1" applyBorder="1" applyAlignment="1">
      <alignment horizontal="center"/>
    </xf>
    <xf numFmtId="4" fontId="25" fillId="3" borderId="87" xfId="0" applyNumberFormat="1" applyFont="1" applyFill="1" applyBorder="1" applyAlignment="1">
      <alignment horizontal="center" vertical="center"/>
    </xf>
    <xf numFmtId="4" fontId="12" fillId="5" borderId="15" xfId="0" applyNumberFormat="1" applyFont="1" applyFill="1" applyBorder="1" applyAlignment="1">
      <alignment horizontal="center"/>
    </xf>
    <xf numFmtId="10" fontId="25" fillId="0" borderId="115" xfId="5" applyNumberFormat="1" applyFont="1" applyBorder="1" applyAlignment="1">
      <alignment horizontal="center"/>
    </xf>
    <xf numFmtId="10" fontId="25" fillId="3" borderId="74" xfId="5" applyNumberFormat="1" applyFont="1" applyFill="1" applyBorder="1" applyAlignment="1">
      <alignment horizontal="center" vertical="center"/>
    </xf>
    <xf numFmtId="4" fontId="1" fillId="0" borderId="0" xfId="0" applyNumberFormat="1" applyFont="1"/>
    <xf numFmtId="0" fontId="24" fillId="5" borderId="120" xfId="0" applyFont="1" applyFill="1" applyBorder="1"/>
    <xf numFmtId="0" fontId="24" fillId="5" borderId="154" xfId="0" applyFont="1" applyFill="1" applyBorder="1"/>
    <xf numFmtId="0" fontId="24" fillId="5" borderId="155" xfId="0" applyFont="1" applyFill="1" applyBorder="1"/>
    <xf numFmtId="169" fontId="24" fillId="5" borderId="156" xfId="0" applyNumberFormat="1" applyFont="1" applyFill="1" applyBorder="1"/>
    <xf numFmtId="169" fontId="25" fillId="0" borderId="29" xfId="0" applyNumberFormat="1" applyFont="1" applyBorder="1"/>
    <xf numFmtId="4" fontId="25" fillId="0" borderId="29" xfId="0" applyNumberFormat="1" applyFont="1" applyBorder="1"/>
    <xf numFmtId="4" fontId="25" fillId="3" borderId="29" xfId="0" applyNumberFormat="1" applyFont="1" applyFill="1" applyBorder="1"/>
    <xf numFmtId="169" fontId="25" fillId="3" borderId="29" xfId="0" applyNumberFormat="1" applyFont="1" applyFill="1" applyBorder="1" applyAlignment="1">
      <alignment horizontal="right" vertical="center"/>
    </xf>
    <xf numFmtId="4" fontId="25" fillId="3" borderId="158" xfId="0" applyNumberFormat="1" applyFont="1" applyFill="1" applyBorder="1"/>
    <xf numFmtId="169" fontId="25" fillId="3" borderId="158" xfId="0" applyNumberFormat="1" applyFont="1" applyFill="1" applyBorder="1" applyAlignment="1">
      <alignment horizontal="right" vertical="center"/>
    </xf>
    <xf numFmtId="169" fontId="25" fillId="3" borderId="159" xfId="0" applyNumberFormat="1" applyFont="1" applyFill="1" applyBorder="1"/>
    <xf numFmtId="4" fontId="25" fillId="3" borderId="42" xfId="0" applyNumberFormat="1" applyFont="1" applyFill="1" applyBorder="1"/>
    <xf numFmtId="0" fontId="25" fillId="3" borderId="160" xfId="0" applyFont="1" applyFill="1" applyBorder="1"/>
    <xf numFmtId="0" fontId="25" fillId="0" borderId="161" xfId="0" applyFont="1" applyBorder="1"/>
    <xf numFmtId="0" fontId="25" fillId="3" borderId="161" xfId="0" applyFont="1" applyFill="1" applyBorder="1"/>
    <xf numFmtId="0" fontId="25" fillId="3" borderId="162" xfId="0" applyFont="1" applyFill="1" applyBorder="1"/>
    <xf numFmtId="4" fontId="25" fillId="0" borderId="111" xfId="0" applyNumberFormat="1" applyFont="1" applyBorder="1"/>
    <xf numFmtId="4" fontId="25" fillId="3" borderId="111" xfId="0" applyNumberFormat="1" applyFont="1" applyFill="1" applyBorder="1"/>
    <xf numFmtId="4" fontId="25" fillId="3" borderId="163" xfId="0" applyNumberFormat="1" applyFont="1" applyFill="1" applyBorder="1"/>
    <xf numFmtId="169" fontId="25" fillId="3" borderId="104" xfId="0" applyNumberFormat="1" applyFont="1" applyFill="1" applyBorder="1"/>
    <xf numFmtId="169" fontId="25" fillId="3" borderId="105" xfId="0" applyNumberFormat="1" applyFont="1" applyFill="1" applyBorder="1"/>
    <xf numFmtId="169" fontId="25" fillId="0" borderId="106" xfId="0" applyNumberFormat="1" applyFont="1" applyBorder="1"/>
    <xf numFmtId="169" fontId="25" fillId="3" borderId="106" xfId="0" applyNumberFormat="1" applyFont="1" applyFill="1" applyBorder="1"/>
    <xf numFmtId="169" fontId="25" fillId="3" borderId="157" xfId="0" applyNumberFormat="1" applyFont="1" applyFill="1" applyBorder="1"/>
    <xf numFmtId="171" fontId="0" fillId="0" borderId="0" xfId="0" applyNumberFormat="1"/>
    <xf numFmtId="1" fontId="25" fillId="3" borderId="74" xfId="0" applyNumberFormat="1" applyFont="1" applyFill="1" applyBorder="1" applyAlignment="1">
      <alignment horizontal="center"/>
    </xf>
    <xf numFmtId="4" fontId="25" fillId="3" borderId="86" xfId="0" applyNumberFormat="1" applyFont="1" applyFill="1" applyBorder="1" applyAlignment="1">
      <alignment horizontal="center"/>
    </xf>
    <xf numFmtId="0" fontId="25" fillId="3" borderId="97" xfId="0" applyFont="1" applyFill="1" applyBorder="1" applyAlignment="1">
      <alignment horizontal="center"/>
    </xf>
    <xf numFmtId="10" fontId="25" fillId="3" borderId="74" xfId="0" applyNumberFormat="1" applyFont="1" applyFill="1" applyBorder="1" applyAlignment="1">
      <alignment horizontal="center"/>
    </xf>
    <xf numFmtId="4" fontId="25" fillId="3" borderId="87" xfId="0" applyNumberFormat="1" applyFont="1" applyFill="1" applyBorder="1" applyAlignment="1">
      <alignment horizontal="center"/>
    </xf>
    <xf numFmtId="0" fontId="92" fillId="0" borderId="0" xfId="0" applyFont="1"/>
    <xf numFmtId="4" fontId="93" fillId="0" borderId="26" xfId="0" applyNumberFormat="1" applyFont="1" applyBorder="1" applyAlignment="1">
      <alignment horizontal="center" vertical="center"/>
    </xf>
    <xf numFmtId="4" fontId="93" fillId="3" borderId="32" xfId="0" applyNumberFormat="1" applyFont="1" applyFill="1" applyBorder="1" applyAlignment="1">
      <alignment horizontal="center" vertical="center"/>
    </xf>
    <xf numFmtId="4" fontId="93" fillId="3" borderId="29" xfId="0" applyNumberFormat="1" applyFont="1" applyFill="1" applyBorder="1" applyAlignment="1">
      <alignment horizontal="center" vertical="center"/>
    </xf>
    <xf numFmtId="4" fontId="93" fillId="0" borderId="29" xfId="0" applyNumberFormat="1" applyFont="1" applyBorder="1" applyAlignment="1">
      <alignment horizontal="center" vertical="center"/>
    </xf>
    <xf numFmtId="4" fontId="93" fillId="0" borderId="26" xfId="0" applyNumberFormat="1" applyFont="1" applyBorder="1" applyAlignment="1">
      <alignment horizontal="center" vertical="center" wrapText="1"/>
    </xf>
    <xf numFmtId="4" fontId="93" fillId="0" borderId="29" xfId="0" applyNumberFormat="1" applyFont="1" applyBorder="1" applyAlignment="1">
      <alignment horizontal="center" vertical="center" wrapText="1"/>
    </xf>
    <xf numFmtId="4" fontId="93" fillId="12" borderId="26" xfId="0" applyNumberFormat="1" applyFont="1" applyFill="1" applyBorder="1" applyAlignment="1">
      <alignment horizontal="center" vertical="center" wrapText="1"/>
    </xf>
    <xf numFmtId="4" fontId="93" fillId="12" borderId="29" xfId="0" applyNumberFormat="1" applyFont="1" applyFill="1" applyBorder="1" applyAlignment="1">
      <alignment horizontal="center" vertical="center" wrapText="1"/>
    </xf>
    <xf numFmtId="4" fontId="94" fillId="0" borderId="29" xfId="0" applyNumberFormat="1" applyFont="1" applyBorder="1" applyAlignment="1">
      <alignment horizontal="center" vertical="center" wrapText="1"/>
    </xf>
    <xf numFmtId="4" fontId="94" fillId="0" borderId="32" xfId="0" applyNumberFormat="1" applyFont="1" applyBorder="1" applyAlignment="1">
      <alignment horizontal="center" vertical="center" wrapText="1"/>
    </xf>
    <xf numFmtId="169" fontId="25" fillId="3" borderId="105" xfId="0" applyNumberFormat="1" applyFont="1" applyFill="1" applyBorder="1" applyAlignment="1">
      <alignment horizontal="right" vertical="center"/>
    </xf>
    <xf numFmtId="169" fontId="25" fillId="19" borderId="103" xfId="0" applyNumberFormat="1" applyFont="1" applyFill="1" applyBorder="1"/>
    <xf numFmtId="10" fontId="25" fillId="3" borderId="115" xfId="5" applyNumberFormat="1" applyFont="1" applyFill="1" applyBorder="1" applyAlignment="1">
      <alignment horizontal="center"/>
    </xf>
    <xf numFmtId="0" fontId="25" fillId="0" borderId="112" xfId="0" applyFont="1" applyBorder="1" applyAlignment="1">
      <alignment horizontal="center" vertical="center" wrapText="1"/>
    </xf>
    <xf numFmtId="167" fontId="29" fillId="0" borderId="86" xfId="0" applyNumberFormat="1" applyFont="1" applyBorder="1" applyAlignment="1">
      <alignment horizontal="center" vertical="center" wrapText="1"/>
    </xf>
    <xf numFmtId="4" fontId="30" fillId="0" borderId="86" xfId="0" applyNumberFormat="1" applyFont="1" applyBorder="1" applyAlignment="1">
      <alignment horizontal="center" vertical="center" wrapText="1"/>
    </xf>
    <xf numFmtId="4" fontId="30" fillId="0" borderId="87" xfId="0" applyNumberFormat="1" applyFont="1" applyBorder="1" applyAlignment="1">
      <alignment horizontal="center"/>
    </xf>
    <xf numFmtId="49" fontId="25" fillId="0" borderId="74" xfId="0" applyNumberFormat="1" applyFont="1" applyBorder="1" applyAlignment="1">
      <alignment horizontal="center" vertical="center" wrapText="1"/>
    </xf>
    <xf numFmtId="0" fontId="25" fillId="3" borderId="112" xfId="0" applyFont="1" applyFill="1" applyBorder="1" applyAlignment="1">
      <alignment horizontal="center" vertical="center" wrapText="1"/>
    </xf>
    <xf numFmtId="49" fontId="25" fillId="3" borderId="74" xfId="0" applyNumberFormat="1" applyFont="1" applyFill="1" applyBorder="1" applyAlignment="1">
      <alignment horizontal="center" vertical="center" wrapText="1"/>
    </xf>
    <xf numFmtId="167" fontId="29" fillId="3" borderId="86" xfId="0" applyNumberFormat="1" applyFont="1" applyFill="1" applyBorder="1" applyAlignment="1">
      <alignment horizontal="center" vertical="center" wrapText="1"/>
    </xf>
    <xf numFmtId="4" fontId="30" fillId="3" borderId="86" xfId="0" applyNumberFormat="1" applyFont="1" applyFill="1" applyBorder="1" applyAlignment="1">
      <alignment horizontal="center" vertical="center" wrapText="1"/>
    </xf>
    <xf numFmtId="4" fontId="30" fillId="3" borderId="87" xfId="0" applyNumberFormat="1" applyFont="1" applyFill="1" applyBorder="1" applyAlignment="1">
      <alignment horizontal="center"/>
    </xf>
    <xf numFmtId="10" fontId="30" fillId="3" borderId="74" xfId="0" applyNumberFormat="1" applyFont="1" applyFill="1" applyBorder="1" applyAlignment="1">
      <alignment horizontal="center" vertical="center" wrapText="1"/>
    </xf>
    <xf numFmtId="10" fontId="30" fillId="0" borderId="74" xfId="0" applyNumberFormat="1" applyFont="1" applyBorder="1" applyAlignment="1">
      <alignment horizontal="center" vertical="center" wrapText="1"/>
    </xf>
    <xf numFmtId="0" fontId="92" fillId="0" borderId="0" xfId="0" applyFont="1" applyAlignment="1">
      <alignment horizontal="center"/>
    </xf>
    <xf numFmtId="0" fontId="95" fillId="0" borderId="0" xfId="0" applyFont="1" applyAlignment="1">
      <alignment horizontal="center"/>
    </xf>
    <xf numFmtId="4" fontId="92" fillId="0" borderId="0" xfId="0" applyNumberFormat="1" applyFont="1" applyAlignment="1">
      <alignment horizontal="center"/>
    </xf>
    <xf numFmtId="0" fontId="12" fillId="5" borderId="0" xfId="0" applyFont="1" applyFill="1" applyAlignment="1">
      <alignment horizontal="center" vertical="top"/>
    </xf>
    <xf numFmtId="1" fontId="25" fillId="3" borderId="74" xfId="0" applyNumberFormat="1" applyFont="1" applyFill="1" applyBorder="1" applyAlignment="1">
      <alignment horizontal="center" vertical="center" wrapText="1"/>
    </xf>
    <xf numFmtId="166" fontId="20" fillId="11" borderId="149" xfId="0" applyNumberFormat="1" applyFont="1" applyFill="1" applyBorder="1" applyAlignment="1">
      <alignment horizontal="center"/>
    </xf>
    <xf numFmtId="4" fontId="20" fillId="11" borderId="149" xfId="0" applyNumberFormat="1" applyFont="1" applyFill="1" applyBorder="1" applyAlignment="1">
      <alignment horizontal="center"/>
    </xf>
    <xf numFmtId="172" fontId="0" fillId="11" borderId="142" xfId="0" applyNumberFormat="1" applyFill="1" applyBorder="1" applyAlignment="1">
      <alignment horizontal="center"/>
    </xf>
    <xf numFmtId="172" fontId="0" fillId="11" borderId="141" xfId="0" applyNumberFormat="1" applyFill="1" applyBorder="1" applyAlignment="1">
      <alignment horizontal="center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3" borderId="29" xfId="0" applyFill="1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center" vertical="top"/>
      <protection locked="0"/>
    </xf>
    <xf numFmtId="0" fontId="0" fillId="0" borderId="29" xfId="0" applyBorder="1" applyAlignment="1" applyProtection="1">
      <alignment horizontal="left" wrapText="1"/>
      <protection locked="0"/>
    </xf>
    <xf numFmtId="49" fontId="0" fillId="0" borderId="29" xfId="0" applyNumberFormat="1" applyBorder="1" applyAlignment="1" applyProtection="1">
      <alignment horizontal="left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left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left"/>
      <protection locked="0"/>
    </xf>
    <xf numFmtId="0" fontId="0" fillId="23" borderId="134" xfId="0" applyFill="1" applyBorder="1" applyAlignment="1" applyProtection="1">
      <alignment horizontal="center"/>
      <protection locked="0"/>
    </xf>
    <xf numFmtId="0" fontId="0" fillId="23" borderId="135" xfId="0" applyFill="1" applyBorder="1" applyAlignment="1" applyProtection="1">
      <alignment horizontal="left"/>
      <protection locked="0"/>
    </xf>
    <xf numFmtId="0" fontId="0" fillId="23" borderId="135" xfId="0" applyFill="1" applyBorder="1" applyAlignment="1" applyProtection="1">
      <alignment horizontal="center"/>
      <protection locked="0"/>
    </xf>
    <xf numFmtId="0" fontId="0" fillId="0" borderId="137" xfId="0" applyBorder="1" applyAlignment="1" applyProtection="1">
      <alignment horizontal="center"/>
      <protection locked="0"/>
    </xf>
    <xf numFmtId="0" fontId="0" fillId="0" borderId="138" xfId="0" applyBorder="1" applyAlignment="1" applyProtection="1">
      <alignment horizontal="left"/>
      <protection locked="0"/>
    </xf>
    <xf numFmtId="0" fontId="0" fillId="0" borderId="138" xfId="0" applyBorder="1" applyAlignment="1" applyProtection="1">
      <alignment horizontal="center"/>
      <protection locked="0"/>
    </xf>
    <xf numFmtId="0" fontId="0" fillId="0" borderId="140" xfId="0" applyBorder="1" applyAlignment="1" applyProtection="1">
      <alignment horizontal="center"/>
      <protection locked="0"/>
    </xf>
    <xf numFmtId="0" fontId="0" fillId="0" borderId="141" xfId="0" applyBorder="1" applyAlignment="1" applyProtection="1">
      <alignment horizontal="left"/>
      <protection locked="0"/>
    </xf>
    <xf numFmtId="0" fontId="0" fillId="0" borderId="141" xfId="0" applyBorder="1" applyAlignment="1" applyProtection="1">
      <alignment horizontal="center"/>
      <protection locked="0"/>
    </xf>
    <xf numFmtId="0" fontId="0" fillId="0" borderId="141" xfId="0" quotePrefix="1" applyBorder="1" applyAlignment="1" applyProtection="1">
      <alignment horizontal="left"/>
      <protection locked="0"/>
    </xf>
    <xf numFmtId="0" fontId="0" fillId="0" borderId="143" xfId="0" applyBorder="1" applyAlignment="1" applyProtection="1">
      <alignment horizontal="center"/>
      <protection locked="0"/>
    </xf>
    <xf numFmtId="0" fontId="0" fillId="0" borderId="144" xfId="0" applyBorder="1" applyAlignment="1" applyProtection="1">
      <alignment horizontal="left"/>
      <protection locked="0"/>
    </xf>
    <xf numFmtId="0" fontId="0" fillId="0" borderId="144" xfId="0" applyBorder="1" applyAlignment="1" applyProtection="1">
      <alignment horizontal="center"/>
      <protection locked="0"/>
    </xf>
    <xf numFmtId="0" fontId="0" fillId="3" borderId="146" xfId="0" applyFill="1" applyBorder="1" applyAlignment="1" applyProtection="1">
      <alignment horizontal="center"/>
      <protection locked="0"/>
    </xf>
    <xf numFmtId="0" fontId="0" fillId="3" borderId="138" xfId="0" applyFill="1" applyBorder="1" applyAlignment="1" applyProtection="1">
      <alignment horizontal="left"/>
      <protection locked="0"/>
    </xf>
    <xf numFmtId="0" fontId="0" fillId="3" borderId="138" xfId="0" applyFill="1" applyBorder="1" applyAlignment="1" applyProtection="1">
      <alignment horizontal="center"/>
      <protection locked="0"/>
    </xf>
    <xf numFmtId="0" fontId="0" fillId="3" borderId="148" xfId="0" applyFill="1" applyBorder="1" applyAlignment="1" applyProtection="1">
      <alignment horizontal="center"/>
      <protection locked="0"/>
    </xf>
    <xf numFmtId="0" fontId="0" fillId="0" borderId="148" xfId="0" applyBorder="1" applyAlignment="1" applyProtection="1">
      <alignment horizontal="center"/>
      <protection locked="0"/>
    </xf>
    <xf numFmtId="0" fontId="0" fillId="0" borderId="141" xfId="0" applyBorder="1" applyAlignment="1" applyProtection="1">
      <alignment horizontal="left" vertical="center"/>
      <protection locked="0"/>
    </xf>
    <xf numFmtId="0" fontId="0" fillId="0" borderId="141" xfId="0" applyBorder="1" applyAlignment="1" applyProtection="1">
      <alignment horizontal="center" wrapText="1"/>
      <protection locked="0"/>
    </xf>
    <xf numFmtId="0" fontId="0" fillId="11" borderId="141" xfId="0" applyFill="1" applyBorder="1" applyAlignment="1" applyProtection="1">
      <alignment horizontal="left" vertical="center"/>
      <protection locked="0"/>
    </xf>
    <xf numFmtId="0" fontId="0" fillId="11" borderId="141" xfId="0" applyFill="1" applyBorder="1" applyAlignment="1" applyProtection="1">
      <alignment horizontal="center"/>
      <protection locked="0"/>
    </xf>
    <xf numFmtId="0" fontId="0" fillId="0" borderId="150" xfId="0" applyBorder="1" applyAlignment="1" applyProtection="1">
      <alignment horizontal="center"/>
      <protection locked="0"/>
    </xf>
    <xf numFmtId="0" fontId="0" fillId="0" borderId="151" xfId="0" applyBorder="1" applyAlignment="1" applyProtection="1">
      <alignment horizontal="left" vertical="center"/>
      <protection locked="0"/>
    </xf>
    <xf numFmtId="0" fontId="0" fillId="0" borderId="151" xfId="0" applyBorder="1" applyAlignment="1" applyProtection="1">
      <alignment horizontal="center" wrapText="1"/>
      <protection locked="0"/>
    </xf>
    <xf numFmtId="0" fontId="0" fillId="3" borderId="137" xfId="0" applyFill="1" applyBorder="1" applyAlignment="1" applyProtection="1">
      <alignment horizontal="center"/>
      <protection locked="0"/>
    </xf>
    <xf numFmtId="0" fontId="0" fillId="20" borderId="140" xfId="0" applyFill="1" applyBorder="1" applyAlignment="1" applyProtection="1">
      <alignment horizontal="center"/>
      <protection locked="0"/>
    </xf>
    <xf numFmtId="0" fontId="0" fillId="20" borderId="141" xfId="0" applyFill="1" applyBorder="1" applyAlignment="1" applyProtection="1">
      <alignment horizontal="left"/>
      <protection locked="0"/>
    </xf>
    <xf numFmtId="0" fontId="0" fillId="20" borderId="141" xfId="0" applyFill="1" applyBorder="1" applyAlignment="1" applyProtection="1">
      <alignment horizontal="center" wrapText="1"/>
      <protection locked="0"/>
    </xf>
    <xf numFmtId="0" fontId="0" fillId="20" borderId="141" xfId="0" applyFill="1" applyBorder="1" applyAlignment="1" applyProtection="1">
      <alignment horizontal="center"/>
      <protection locked="0"/>
    </xf>
    <xf numFmtId="0" fontId="0" fillId="29" borderId="140" xfId="0" applyFill="1" applyBorder="1" applyAlignment="1" applyProtection="1">
      <alignment horizontal="center"/>
      <protection locked="0"/>
    </xf>
    <xf numFmtId="0" fontId="0" fillId="29" borderId="141" xfId="0" applyFill="1" applyBorder="1" applyAlignment="1" applyProtection="1">
      <alignment horizontal="left"/>
      <protection locked="0"/>
    </xf>
    <xf numFmtId="0" fontId="0" fillId="30" borderId="140" xfId="0" applyFill="1" applyBorder="1" applyAlignment="1" applyProtection="1">
      <alignment horizontal="center"/>
      <protection locked="0"/>
    </xf>
    <xf numFmtId="0" fontId="0" fillId="30" borderId="141" xfId="0" applyFill="1" applyBorder="1" applyAlignment="1" applyProtection="1">
      <alignment horizontal="left"/>
      <protection locked="0"/>
    </xf>
    <xf numFmtId="0" fontId="0" fillId="29" borderId="141" xfId="0" applyFill="1" applyBorder="1" applyAlignment="1" applyProtection="1">
      <alignment horizontal="center"/>
      <protection locked="0"/>
    </xf>
    <xf numFmtId="0" fontId="0" fillId="30" borderId="141" xfId="0" applyFill="1" applyBorder="1" applyAlignment="1" applyProtection="1">
      <alignment horizontal="center"/>
      <protection locked="0"/>
    </xf>
    <xf numFmtId="0" fontId="0" fillId="24" borderId="141" xfId="0" applyFill="1" applyBorder="1" applyAlignment="1" applyProtection="1">
      <alignment horizontal="left"/>
      <protection locked="0"/>
    </xf>
    <xf numFmtId="0" fontId="0" fillId="24" borderId="141" xfId="0" applyFill="1" applyBorder="1" applyAlignment="1" applyProtection="1">
      <alignment horizontal="center"/>
      <protection locked="0"/>
    </xf>
    <xf numFmtId="0" fontId="0" fillId="0" borderId="144" xfId="0" applyBorder="1" applyAlignment="1" applyProtection="1">
      <alignment horizontal="left" vertic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27" borderId="42" xfId="0" applyFill="1" applyBorder="1" applyAlignment="1" applyProtection="1">
      <alignment horizontal="left"/>
      <protection locked="0"/>
    </xf>
    <xf numFmtId="0" fontId="0" fillId="27" borderId="42" xfId="0" applyFill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27" borderId="29" xfId="0" applyFill="1" applyBorder="1" applyAlignment="1" applyProtection="1">
      <alignment horizontal="left"/>
      <protection locked="0"/>
    </xf>
    <xf numFmtId="0" fontId="0" fillId="27" borderId="29" xfId="0" applyFill="1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left" vertical="center"/>
      <protection locked="0"/>
    </xf>
    <xf numFmtId="0" fontId="0" fillId="5" borderId="29" xfId="0" applyFill="1" applyBorder="1" applyAlignment="1" applyProtection="1">
      <alignment horizontal="left"/>
      <protection locked="0"/>
    </xf>
    <xf numFmtId="0" fontId="0" fillId="5" borderId="29" xfId="0" applyFill="1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left" vertical="center"/>
      <protection locked="0"/>
    </xf>
    <xf numFmtId="4" fontId="41" fillId="0" borderId="142" xfId="0" applyNumberFormat="1" applyFont="1" applyBorder="1" applyAlignment="1" applyProtection="1">
      <alignment horizontal="center"/>
      <protection locked="0"/>
    </xf>
    <xf numFmtId="172" fontId="0" fillId="0" borderId="142" xfId="0" applyNumberFormat="1" applyBorder="1" applyAlignment="1" applyProtection="1">
      <alignment horizontal="center"/>
      <protection locked="0"/>
    </xf>
    <xf numFmtId="4" fontId="0" fillId="0" borderId="142" xfId="0" applyNumberFormat="1" applyBorder="1" applyAlignment="1" applyProtection="1">
      <alignment horizontal="center"/>
      <protection locked="0"/>
    </xf>
    <xf numFmtId="4" fontId="41" fillId="0" borderId="145" xfId="0" applyNumberFormat="1" applyFont="1" applyBorder="1" applyAlignment="1" applyProtection="1">
      <alignment horizontal="center"/>
      <protection locked="0"/>
    </xf>
    <xf numFmtId="4" fontId="0" fillId="0" borderId="149" xfId="0" applyNumberFormat="1" applyBorder="1" applyAlignment="1" applyProtection="1">
      <alignment horizontal="center"/>
      <protection locked="0"/>
    </xf>
    <xf numFmtId="4" fontId="0" fillId="0" borderId="152" xfId="0" applyNumberFormat="1" applyBorder="1" applyAlignment="1" applyProtection="1">
      <alignment horizontal="center"/>
      <protection locked="0"/>
    </xf>
    <xf numFmtId="4" fontId="0" fillId="3" borderId="139" xfId="0" applyNumberFormat="1" applyFill="1" applyBorder="1" applyAlignment="1" applyProtection="1">
      <alignment horizontal="center"/>
      <protection locked="0"/>
    </xf>
    <xf numFmtId="4" fontId="0" fillId="20" borderId="142" xfId="0" applyNumberFormat="1" applyFill="1" applyBorder="1" applyAlignment="1" applyProtection="1">
      <alignment horizontal="center"/>
      <protection locked="0"/>
    </xf>
    <xf numFmtId="4" fontId="0" fillId="29" borderId="142" xfId="0" applyNumberFormat="1" applyFill="1" applyBorder="1" applyAlignment="1" applyProtection="1">
      <alignment horizontal="center"/>
      <protection locked="0"/>
    </xf>
    <xf numFmtId="4" fontId="0" fillId="30" borderId="142" xfId="0" applyNumberFormat="1" applyFill="1" applyBorder="1" applyAlignment="1" applyProtection="1">
      <alignment horizontal="center"/>
      <protection locked="0"/>
    </xf>
    <xf numFmtId="4" fontId="0" fillId="24" borderId="142" xfId="0" applyNumberFormat="1" applyFill="1" applyBorder="1" applyAlignment="1" applyProtection="1">
      <alignment horizontal="center"/>
      <protection locked="0"/>
    </xf>
    <xf numFmtId="0" fontId="0" fillId="0" borderId="142" xfId="0" applyBorder="1" applyAlignment="1" applyProtection="1">
      <alignment horizontal="left" vertical="center"/>
      <protection locked="0"/>
    </xf>
    <xf numFmtId="9" fontId="0" fillId="0" borderId="145" xfId="5" applyFont="1" applyFill="1" applyBorder="1" applyAlignment="1" applyProtection="1">
      <alignment horizontal="left" vertical="center"/>
      <protection locked="0"/>
    </xf>
    <xf numFmtId="4" fontId="0" fillId="27" borderId="43" xfId="0" applyNumberFormat="1" applyFill="1" applyBorder="1" applyAlignment="1" applyProtection="1">
      <alignment horizontal="center"/>
      <protection locked="0"/>
    </xf>
    <xf numFmtId="4" fontId="0" fillId="27" borderId="30" xfId="0" applyNumberFormat="1" applyFill="1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9" fontId="0" fillId="0" borderId="30" xfId="5" applyFont="1" applyFill="1" applyBorder="1" applyAlignment="1" applyProtection="1">
      <alignment horizontal="left" vertical="center"/>
      <protection locked="0"/>
    </xf>
    <xf numFmtId="4" fontId="0" fillId="0" borderId="30" xfId="0" applyNumberFormat="1" applyBorder="1" applyAlignment="1" applyProtection="1">
      <alignment horizontal="center"/>
      <protection locked="0"/>
    </xf>
    <xf numFmtId="4" fontId="0" fillId="5" borderId="30" xfId="0" applyNumberFormat="1" applyFill="1" applyBorder="1" applyAlignment="1" applyProtection="1">
      <alignment horizontal="center"/>
      <protection locked="0"/>
    </xf>
    <xf numFmtId="9" fontId="0" fillId="0" borderId="47" xfId="5" applyFont="1" applyFill="1" applyBorder="1" applyAlignment="1" applyProtection="1">
      <alignment horizontal="left" vertical="center"/>
      <protection locked="0"/>
    </xf>
    <xf numFmtId="4" fontId="0" fillId="23" borderId="29" xfId="0" applyNumberFormat="1" applyFill="1" applyBorder="1" applyAlignment="1" applyProtection="1">
      <alignment horizontal="center"/>
      <protection locked="0"/>
    </xf>
    <xf numFmtId="4" fontId="0" fillId="0" borderId="29" xfId="0" applyNumberFormat="1" applyBorder="1" applyAlignment="1" applyProtection="1">
      <alignment horizontal="center"/>
      <protection locked="0"/>
    </xf>
    <xf numFmtId="4" fontId="41" fillId="0" borderId="29" xfId="0" applyNumberFormat="1" applyFont="1" applyBorder="1" applyAlignment="1" applyProtection="1">
      <alignment horizontal="center"/>
      <protection locked="0"/>
    </xf>
    <xf numFmtId="4" fontId="0" fillId="0" borderId="32" xfId="0" applyNumberFormat="1" applyBorder="1" applyAlignment="1" applyProtection="1">
      <alignment horizontal="center"/>
      <protection locked="0"/>
    </xf>
    <xf numFmtId="4" fontId="0" fillId="0" borderId="46" xfId="0" applyNumberFormat="1" applyBorder="1" applyAlignment="1" applyProtection="1">
      <alignment horizontal="center"/>
      <protection locked="0"/>
    </xf>
    <xf numFmtId="4" fontId="0" fillId="23" borderId="136" xfId="0" applyNumberFormat="1" applyFill="1" applyBorder="1" applyAlignment="1" applyProtection="1">
      <alignment horizontal="center"/>
      <protection locked="0"/>
    </xf>
    <xf numFmtId="9" fontId="0" fillId="0" borderId="139" xfId="5" applyFont="1" applyBorder="1" applyAlignment="1" applyProtection="1">
      <alignment horizontal="center"/>
      <protection locked="0"/>
    </xf>
    <xf numFmtId="4" fontId="0" fillId="0" borderId="145" xfId="0" applyNumberFormat="1" applyBorder="1" applyAlignment="1" applyProtection="1">
      <alignment horizontal="center"/>
      <protection locked="0"/>
    </xf>
    <xf numFmtId="4" fontId="0" fillId="3" borderId="147" xfId="0" applyNumberFormat="1" applyFill="1" applyBorder="1" applyAlignment="1" applyProtection="1">
      <alignment horizontal="center"/>
      <protection locked="0"/>
    </xf>
    <xf numFmtId="9" fontId="0" fillId="0" borderId="149" xfId="5" applyFont="1" applyFill="1" applyBorder="1" applyAlignment="1" applyProtection="1">
      <alignment horizontal="center"/>
      <protection locked="0"/>
    </xf>
    <xf numFmtId="49" fontId="1" fillId="0" borderId="2" xfId="0" quotePrefix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4" fillId="0" borderId="26" xfId="0" applyNumberFormat="1" applyFont="1" applyBorder="1" applyAlignment="1">
      <alignment horizontal="center" vertical="center"/>
    </xf>
    <xf numFmtId="4" fontId="4" fillId="0" borderId="90" xfId="0" applyNumberFormat="1" applyFont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4" fontId="4" fillId="3" borderId="29" xfId="0" applyNumberFormat="1" applyFont="1" applyFill="1" applyBorder="1" applyAlignment="1">
      <alignment horizontal="center" vertical="center"/>
    </xf>
    <xf numFmtId="167" fontId="4" fillId="3" borderId="29" xfId="0" applyNumberFormat="1" applyFont="1" applyFill="1" applyBorder="1" applyAlignment="1">
      <alignment horizontal="center" vertical="center"/>
    </xf>
    <xf numFmtId="4" fontId="4" fillId="3" borderId="80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4" fontId="4" fillId="0" borderId="29" xfId="0" applyNumberFormat="1" applyFont="1" applyBorder="1" applyAlignment="1">
      <alignment horizontal="center" vertical="center"/>
    </xf>
    <xf numFmtId="4" fontId="4" fillId="0" borderId="80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left"/>
    </xf>
    <xf numFmtId="4" fontId="4" fillId="3" borderId="29" xfId="0" applyNumberFormat="1" applyFont="1" applyFill="1" applyBorder="1" applyAlignment="1">
      <alignment horizontal="center"/>
    </xf>
    <xf numFmtId="0" fontId="1" fillId="0" borderId="0" xfId="0" quotePrefix="1" applyFont="1" applyAlignment="1">
      <alignment horizontal="left" vertical="center" wrapText="1"/>
    </xf>
    <xf numFmtId="4" fontId="4" fillId="0" borderId="29" xfId="0" applyNumberFormat="1" applyFont="1" applyBorder="1" applyAlignment="1">
      <alignment horizontal="center"/>
    </xf>
    <xf numFmtId="0" fontId="4" fillId="3" borderId="2" xfId="0" applyFont="1" applyFill="1" applyBorder="1" applyAlignment="1">
      <alignment horizontal="left"/>
    </xf>
    <xf numFmtId="0" fontId="1" fillId="3" borderId="0" xfId="0" quotePrefix="1" applyFont="1" applyFill="1" applyAlignment="1">
      <alignment horizontal="left" vertical="center" wrapText="1"/>
    </xf>
    <xf numFmtId="4" fontId="4" fillId="3" borderId="52" xfId="0" applyNumberFormat="1" applyFont="1" applyFill="1" applyBorder="1" applyAlignment="1">
      <alignment horizontal="center"/>
    </xf>
    <xf numFmtId="4" fontId="1" fillId="3" borderId="55" xfId="0" applyNumberFormat="1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horizontal="center"/>
    </xf>
    <xf numFmtId="4" fontId="1" fillId="0" borderId="29" xfId="0" applyNumberFormat="1" applyFont="1" applyBorder="1" applyAlignment="1">
      <alignment horizontal="center"/>
    </xf>
    <xf numFmtId="4" fontId="4" fillId="0" borderId="80" xfId="0" applyNumberFormat="1" applyFont="1" applyBorder="1" applyAlignment="1">
      <alignment horizontal="center"/>
    </xf>
    <xf numFmtId="4" fontId="1" fillId="0" borderId="32" xfId="0" applyNumberFormat="1" applyFont="1" applyBorder="1" applyAlignment="1">
      <alignment horizontal="center"/>
    </xf>
    <xf numFmtId="4" fontId="4" fillId="0" borderId="32" xfId="0" applyNumberFormat="1" applyFont="1" applyBorder="1" applyAlignment="1">
      <alignment horizontal="center"/>
    </xf>
    <xf numFmtId="4" fontId="4" fillId="0" borderId="84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4" fillId="0" borderId="92" xfId="0" applyNumberFormat="1" applyFont="1" applyBorder="1" applyAlignment="1">
      <alignment horizontal="center" vertical="center"/>
    </xf>
    <xf numFmtId="0" fontId="6" fillId="24" borderId="13" xfId="0" applyFont="1" applyFill="1" applyBorder="1" applyAlignment="1">
      <alignment horizontal="left"/>
    </xf>
    <xf numFmtId="0" fontId="6" fillId="24" borderId="14" xfId="0" applyFont="1" applyFill="1" applyBorder="1" applyAlignment="1">
      <alignment horizontal="left"/>
    </xf>
    <xf numFmtId="4" fontId="4" fillId="24" borderId="14" xfId="0" applyNumberFormat="1" applyFont="1" applyFill="1" applyBorder="1"/>
    <xf numFmtId="49" fontId="1" fillId="0" borderId="2" xfId="0" applyNumberFormat="1" applyFont="1" applyBorder="1"/>
    <xf numFmtId="0" fontId="1" fillId="0" borderId="12" xfId="0" applyFont="1" applyBorder="1" applyAlignment="1">
      <alignment wrapText="1"/>
    </xf>
    <xf numFmtId="4" fontId="1" fillId="0" borderId="76" xfId="0" applyNumberFormat="1" applyFont="1" applyBorder="1"/>
    <xf numFmtId="4" fontId="4" fillId="0" borderId="76" xfId="0" applyNumberFormat="1" applyFont="1" applyBorder="1" applyAlignment="1">
      <alignment horizontal="center"/>
    </xf>
    <xf numFmtId="49" fontId="1" fillId="3" borderId="2" xfId="0" applyNumberFormat="1" applyFont="1" applyFill="1" applyBorder="1"/>
    <xf numFmtId="4" fontId="1" fillId="3" borderId="29" xfId="0" applyNumberFormat="1" applyFont="1" applyFill="1" applyBorder="1"/>
    <xf numFmtId="49" fontId="4" fillId="0" borderId="2" xfId="0" applyNumberFormat="1" applyFont="1" applyBorder="1"/>
    <xf numFmtId="4" fontId="4" fillId="0" borderId="29" xfId="0" applyNumberFormat="1" applyFont="1" applyBorder="1"/>
    <xf numFmtId="4" fontId="4" fillId="3" borderId="29" xfId="0" applyNumberFormat="1" applyFont="1" applyFill="1" applyBorder="1"/>
    <xf numFmtId="49" fontId="4" fillId="3" borderId="2" xfId="0" applyNumberFormat="1" applyFont="1" applyFill="1" applyBorder="1"/>
    <xf numFmtId="10" fontId="4" fillId="0" borderId="29" xfId="5" applyNumberFormat="1" applyFont="1" applyBorder="1" applyAlignment="1" applyProtection="1"/>
    <xf numFmtId="10" fontId="5" fillId="24" borderId="15" xfId="5" applyNumberFormat="1" applyFont="1" applyFill="1" applyBorder="1" applyAlignment="1" applyProtection="1">
      <alignment horizontal="center" vertical="center"/>
    </xf>
    <xf numFmtId="10" fontId="4" fillId="24" borderId="14" xfId="5" applyNumberFormat="1" applyFont="1" applyFill="1" applyBorder="1" applyAlignment="1" applyProtection="1">
      <alignment horizontal="left" wrapText="1"/>
    </xf>
    <xf numFmtId="0" fontId="0" fillId="9" borderId="0" xfId="0" applyFill="1" applyAlignment="1">
      <alignment wrapText="1"/>
    </xf>
    <xf numFmtId="0" fontId="12" fillId="5" borderId="0" xfId="0" applyFont="1" applyFill="1"/>
    <xf numFmtId="0" fontId="0" fillId="26" borderId="2" xfId="0" applyFill="1" applyBorder="1"/>
    <xf numFmtId="0" fontId="0" fillId="26" borderId="16" xfId="0" applyFill="1" applyBorder="1"/>
    <xf numFmtId="0" fontId="4" fillId="26" borderId="2" xfId="0" applyFont="1" applyFill="1" applyBorder="1"/>
    <xf numFmtId="0" fontId="15" fillId="0" borderId="78" xfId="0" applyFont="1" applyBorder="1" applyAlignment="1">
      <alignment horizontal="center" vertical="center" wrapText="1"/>
    </xf>
    <xf numFmtId="16" fontId="1" fillId="0" borderId="20" xfId="0" applyNumberFormat="1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4" fontId="1" fillId="25" borderId="13" xfId="0" applyNumberFormat="1" applyFont="1" applyFill="1" applyBorder="1" applyAlignment="1">
      <alignment horizontal="center" vertical="center" wrapText="1"/>
    </xf>
    <xf numFmtId="4" fontId="2" fillId="25" borderId="1" xfId="0" applyNumberFormat="1" applyFont="1" applyFill="1" applyBorder="1" applyAlignment="1">
      <alignment horizontal="center" vertical="center"/>
    </xf>
    <xf numFmtId="4" fontId="1" fillId="25" borderId="1" xfId="0" applyNumberFormat="1" applyFont="1" applyFill="1" applyBorder="1" applyAlignment="1">
      <alignment horizontal="center" vertical="center" wrapText="1"/>
    </xf>
    <xf numFmtId="0" fontId="6" fillId="3" borderId="20" xfId="0" applyFont="1" applyFill="1" applyBorder="1"/>
    <xf numFmtId="0" fontId="6" fillId="3" borderId="3" xfId="0" applyFont="1" applyFill="1" applyBorder="1"/>
    <xf numFmtId="0" fontId="2" fillId="3" borderId="3" xfId="0" applyFont="1" applyFill="1" applyBorder="1" applyAlignment="1">
      <alignment horizontal="center"/>
    </xf>
    <xf numFmtId="165" fontId="2" fillId="3" borderId="3" xfId="0" applyNumberFormat="1" applyFont="1" applyFill="1" applyBorder="1"/>
    <xf numFmtId="4" fontId="2" fillId="3" borderId="21" xfId="0" applyNumberFormat="1" applyFont="1" applyFill="1" applyBorder="1"/>
    <xf numFmtId="4" fontId="2" fillId="3" borderId="20" xfId="0" applyNumberFormat="1" applyFont="1" applyFill="1" applyBorder="1"/>
    <xf numFmtId="49" fontId="1" fillId="0" borderId="75" xfId="0" applyNumberFormat="1" applyFont="1" applyBorder="1" applyAlignment="1">
      <alignment horizontal="center" vertical="center" wrapText="1"/>
    </xf>
    <xf numFmtId="49" fontId="1" fillId="0" borderId="76" xfId="0" applyNumberFormat="1" applyFont="1" applyBorder="1" applyAlignment="1">
      <alignment horizontal="left" vertical="center" wrapText="1"/>
    </xf>
    <xf numFmtId="4" fontId="1" fillId="0" borderId="76" xfId="0" applyNumberFormat="1" applyFont="1" applyBorder="1" applyAlignment="1">
      <alignment horizontal="center" vertical="center"/>
    </xf>
    <xf numFmtId="4" fontId="4" fillId="0" borderId="76" xfId="0" applyNumberFormat="1" applyFont="1" applyBorder="1" applyAlignment="1">
      <alignment horizontal="center" vertical="center"/>
    </xf>
    <xf numFmtId="4" fontId="4" fillId="0" borderId="116" xfId="0" applyNumberFormat="1" applyFont="1" applyBorder="1" applyAlignment="1">
      <alignment horizontal="center" vertical="center"/>
    </xf>
    <xf numFmtId="4" fontId="4" fillId="0" borderId="79" xfId="0" applyNumberFormat="1" applyFont="1" applyBorder="1" applyAlignment="1">
      <alignment horizontal="center" vertical="center"/>
    </xf>
    <xf numFmtId="49" fontId="57" fillId="3" borderId="77" xfId="0" applyNumberFormat="1" applyFont="1" applyFill="1" applyBorder="1" applyAlignment="1">
      <alignment horizontal="center" vertical="center" wrapText="1"/>
    </xf>
    <xf numFmtId="49" fontId="57" fillId="3" borderId="29" xfId="0" applyNumberFormat="1" applyFont="1" applyFill="1" applyBorder="1" applyAlignment="1">
      <alignment horizontal="left" vertical="center" wrapText="1"/>
    </xf>
    <xf numFmtId="4" fontId="57" fillId="3" borderId="29" xfId="0" applyNumberFormat="1" applyFont="1" applyFill="1" applyBorder="1" applyAlignment="1">
      <alignment horizontal="center" vertical="center"/>
    </xf>
    <xf numFmtId="4" fontId="1" fillId="3" borderId="29" xfId="0" applyNumberFormat="1" applyFont="1" applyFill="1" applyBorder="1" applyAlignment="1">
      <alignment horizontal="center" vertical="center"/>
    </xf>
    <xf numFmtId="4" fontId="1" fillId="3" borderId="38" xfId="0" applyNumberFormat="1" applyFont="1" applyFill="1" applyBorder="1" applyAlignment="1">
      <alignment horizontal="center" vertical="center"/>
    </xf>
    <xf numFmtId="4" fontId="1" fillId="3" borderId="80" xfId="0" applyNumberFormat="1" applyFont="1" applyFill="1" applyBorder="1" applyAlignment="1">
      <alignment horizontal="center" vertical="center"/>
    </xf>
    <xf numFmtId="49" fontId="1" fillId="0" borderId="77" xfId="0" applyNumberFormat="1" applyFont="1" applyBorder="1" applyAlignment="1">
      <alignment horizontal="center" vertical="center" wrapText="1"/>
    </xf>
    <xf numFmtId="49" fontId="1" fillId="0" borderId="29" xfId="0" applyNumberFormat="1" applyFont="1" applyBorder="1" applyAlignment="1">
      <alignment horizontal="left" vertical="center" wrapText="1"/>
    </xf>
    <xf numFmtId="4" fontId="1" fillId="0" borderId="29" xfId="0" applyNumberFormat="1" applyFont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49" fontId="1" fillId="3" borderId="77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left" vertical="center" wrapText="1"/>
    </xf>
    <xf numFmtId="4" fontId="1" fillId="0" borderId="29" xfId="0" quotePrefix="1" applyNumberFormat="1" applyFont="1" applyBorder="1" applyAlignment="1">
      <alignment horizontal="center" vertical="center"/>
    </xf>
    <xf numFmtId="4" fontId="1" fillId="0" borderId="38" xfId="0" applyNumberFormat="1" applyFont="1" applyBorder="1" applyAlignment="1">
      <alignment horizontal="center" vertical="center"/>
    </xf>
    <xf numFmtId="4" fontId="1" fillId="0" borderId="80" xfId="0" applyNumberFormat="1" applyFont="1" applyBorder="1" applyAlignment="1">
      <alignment horizontal="center" vertical="center"/>
    </xf>
    <xf numFmtId="49" fontId="1" fillId="3" borderId="153" xfId="0" applyNumberFormat="1" applyFont="1" applyFill="1" applyBorder="1" applyAlignment="1">
      <alignment horizontal="center" vertical="center" wrapText="1"/>
    </xf>
    <xf numFmtId="49" fontId="1" fillId="3" borderId="32" xfId="0" applyNumberFormat="1" applyFont="1" applyFill="1" applyBorder="1" applyAlignment="1">
      <alignment horizontal="left" vertical="center" wrapText="1"/>
    </xf>
    <xf numFmtId="4" fontId="1" fillId="3" borderId="32" xfId="0" applyNumberFormat="1" applyFont="1" applyFill="1" applyBorder="1" applyAlignment="1">
      <alignment horizontal="center" vertical="center"/>
    </xf>
    <xf numFmtId="4" fontId="1" fillId="3" borderId="39" xfId="0" applyNumberFormat="1" applyFont="1" applyFill="1" applyBorder="1" applyAlignment="1">
      <alignment horizontal="center" vertical="center"/>
    </xf>
    <xf numFmtId="4" fontId="1" fillId="3" borderId="84" xfId="0" applyNumberFormat="1" applyFont="1" applyFill="1" applyBorder="1" applyAlignment="1">
      <alignment horizontal="center" vertical="center"/>
    </xf>
    <xf numFmtId="49" fontId="1" fillId="3" borderId="54" xfId="0" applyNumberFormat="1" applyFont="1" applyFill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left" vertical="center" wrapText="1"/>
    </xf>
    <xf numFmtId="4" fontId="1" fillId="3" borderId="52" xfId="0" applyNumberFormat="1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vertical="center" wrapText="1"/>
    </xf>
    <xf numFmtId="0" fontId="6" fillId="5" borderId="14" xfId="0" applyFont="1" applyFill="1" applyBorder="1" applyAlignment="1">
      <alignment vertical="center" wrapText="1"/>
    </xf>
    <xf numFmtId="4" fontId="6" fillId="5" borderId="14" xfId="0" applyNumberFormat="1" applyFont="1" applyFill="1" applyBorder="1" applyAlignment="1">
      <alignment vertical="center" wrapText="1"/>
    </xf>
    <xf numFmtId="4" fontId="5" fillId="5" borderId="13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4" fontId="6" fillId="5" borderId="0" xfId="0" applyNumberFormat="1" applyFont="1" applyFill="1" applyAlignment="1">
      <alignment vertical="center" wrapText="1"/>
    </xf>
    <xf numFmtId="4" fontId="5" fillId="5" borderId="0" xfId="0" applyNumberFormat="1" applyFont="1" applyFill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4" fillId="0" borderId="0" xfId="0" applyNumberFormat="1" applyFont="1"/>
    <xf numFmtId="0" fontId="58" fillId="0" borderId="0" xfId="0" applyFont="1"/>
    <xf numFmtId="4" fontId="59" fillId="0" borderId="0" xfId="0" applyNumberFormat="1" applyFont="1" applyAlignment="1">
      <alignment horizontal="center"/>
    </xf>
    <xf numFmtId="171" fontId="0" fillId="23" borderId="29" xfId="5" applyNumberFormat="1" applyFont="1" applyFill="1" applyBorder="1" applyAlignment="1" applyProtection="1">
      <alignment horizontal="center"/>
    </xf>
    <xf numFmtId="4" fontId="42" fillId="0" borderId="0" xfId="0" applyNumberFormat="1" applyFont="1" applyAlignment="1">
      <alignment horizontal="center"/>
    </xf>
    <xf numFmtId="0" fontId="0" fillId="3" borderId="29" xfId="0" applyFill="1" applyBorder="1" applyAlignment="1">
      <alignment horizontal="center"/>
    </xf>
    <xf numFmtId="171" fontId="0" fillId="3" borderId="29" xfId="5" applyNumberFormat="1" applyFont="1" applyFill="1" applyBorder="1" applyAlignment="1" applyProtection="1">
      <alignment horizontal="center"/>
    </xf>
    <xf numFmtId="10" fontId="0" fillId="3" borderId="29" xfId="5" applyNumberFormat="1" applyFont="1" applyFill="1" applyBorder="1" applyAlignment="1" applyProtection="1">
      <alignment horizontal="center"/>
    </xf>
    <xf numFmtId="4" fontId="25" fillId="31" borderId="104" xfId="0" applyNumberFormat="1" applyFont="1" applyFill="1" applyBorder="1" applyAlignment="1" applyProtection="1">
      <alignment horizontal="right" vertical="center"/>
      <protection locked="0"/>
    </xf>
    <xf numFmtId="169" fontId="25" fillId="31" borderId="42" xfId="0" applyNumberFormat="1" applyFont="1" applyFill="1" applyBorder="1" applyAlignment="1" applyProtection="1">
      <alignment horizontal="right" vertical="center"/>
      <protection locked="0"/>
    </xf>
    <xf numFmtId="4" fontId="25" fillId="31" borderId="111" xfId="0" applyNumberFormat="1" applyFont="1" applyFill="1" applyBorder="1" applyProtection="1">
      <protection locked="0"/>
    </xf>
    <xf numFmtId="169" fontId="25" fillId="31" borderId="29" xfId="0" applyNumberFormat="1" applyFont="1" applyFill="1" applyBorder="1" applyAlignment="1" applyProtection="1">
      <alignment horizontal="right" vertical="center"/>
      <protection locked="0"/>
    </xf>
    <xf numFmtId="169" fontId="25" fillId="31" borderId="29" xfId="0" applyNumberFormat="1" applyFont="1" applyFill="1" applyBorder="1" applyProtection="1">
      <protection locked="0"/>
    </xf>
    <xf numFmtId="0" fontId="51" fillId="26" borderId="0" xfId="0" applyFont="1" applyFill="1"/>
    <xf numFmtId="0" fontId="43" fillId="26" borderId="0" xfId="0" applyFont="1" applyFill="1"/>
    <xf numFmtId="0" fontId="43" fillId="0" borderId="0" xfId="0" applyFont="1"/>
    <xf numFmtId="0" fontId="82" fillId="26" borderId="0" xfId="0" applyFont="1" applyFill="1"/>
    <xf numFmtId="0" fontId="0" fillId="0" borderId="96" xfId="0" applyBorder="1" applyAlignment="1">
      <alignment horizontal="center"/>
    </xf>
    <xf numFmtId="0" fontId="34" fillId="14" borderId="48" xfId="0" applyFont="1" applyFill="1" applyBorder="1" applyAlignment="1">
      <alignment horizontal="center" vertical="center" wrapText="1"/>
    </xf>
    <xf numFmtId="0" fontId="34" fillId="14" borderId="49" xfId="0" applyFont="1" applyFill="1" applyBorder="1" applyAlignment="1">
      <alignment horizontal="center" vertical="center" wrapText="1"/>
    </xf>
    <xf numFmtId="0" fontId="63" fillId="14" borderId="49" xfId="0" applyFont="1" applyFill="1" applyBorder="1" applyAlignment="1">
      <alignment horizontal="center" vertical="center" wrapText="1"/>
    </xf>
    <xf numFmtId="0" fontId="64" fillId="14" borderId="49" xfId="0" applyFont="1" applyFill="1" applyBorder="1" applyAlignment="1">
      <alignment horizontal="center" vertical="center" wrapText="1"/>
    </xf>
    <xf numFmtId="0" fontId="34" fillId="14" borderId="0" xfId="0" applyFont="1" applyFill="1" applyAlignment="1">
      <alignment horizontal="center" vertical="center" wrapText="1"/>
    </xf>
    <xf numFmtId="0" fontId="33" fillId="13" borderId="96" xfId="0" applyFont="1" applyFill="1" applyBorder="1" applyAlignment="1">
      <alignment horizontal="center" vertical="top" wrapText="1"/>
    </xf>
    <xf numFmtId="3" fontId="33" fillId="15" borderId="50" xfId="0" applyNumberFormat="1" applyFont="1" applyFill="1" applyBorder="1" applyAlignment="1">
      <alignment horizontal="center" vertical="top"/>
    </xf>
    <xf numFmtId="3" fontId="17" fillId="15" borderId="50" xfId="0" applyNumberFormat="1" applyFont="1" applyFill="1" applyBorder="1" applyAlignment="1">
      <alignment horizontal="center" vertical="top"/>
    </xf>
    <xf numFmtId="3" fontId="63" fillId="15" borderId="50" xfId="0" applyNumberFormat="1" applyFont="1" applyFill="1" applyBorder="1" applyAlignment="1">
      <alignment horizontal="center" vertical="top"/>
    </xf>
    <xf numFmtId="3" fontId="64" fillId="15" borderId="50" xfId="0" applyNumberFormat="1" applyFont="1" applyFill="1" applyBorder="1" applyAlignment="1">
      <alignment horizontal="center" vertical="top"/>
    </xf>
    <xf numFmtId="3" fontId="33" fillId="15" borderId="0" xfId="0" applyNumberFormat="1" applyFont="1" applyFill="1" applyAlignment="1">
      <alignment horizontal="center" vertical="top"/>
    </xf>
    <xf numFmtId="0" fontId="44" fillId="13" borderId="96" xfId="0" applyFont="1" applyFill="1" applyBorder="1" applyAlignment="1">
      <alignment horizontal="left" vertical="top" wrapText="1"/>
    </xf>
    <xf numFmtId="4" fontId="33" fillId="15" borderId="56" xfId="0" applyNumberFormat="1" applyFont="1" applyFill="1" applyBorder="1" applyAlignment="1">
      <alignment horizontal="center" vertical="top"/>
    </xf>
    <xf numFmtId="4" fontId="33" fillId="15" borderId="50" xfId="0" applyNumberFormat="1" applyFont="1" applyFill="1" applyBorder="1" applyAlignment="1">
      <alignment horizontal="center" vertical="top"/>
    </xf>
    <xf numFmtId="4" fontId="63" fillId="15" borderId="50" xfId="0" applyNumberFormat="1" applyFont="1" applyFill="1" applyBorder="1" applyAlignment="1">
      <alignment horizontal="center" vertical="top"/>
    </xf>
    <xf numFmtId="4" fontId="64" fillId="15" borderId="50" xfId="0" applyNumberFormat="1" applyFont="1" applyFill="1" applyBorder="1" applyAlignment="1">
      <alignment horizontal="center" vertical="top"/>
    </xf>
    <xf numFmtId="4" fontId="33" fillId="15" borderId="57" xfId="0" applyNumberFormat="1" applyFont="1" applyFill="1" applyBorder="1" applyAlignment="1">
      <alignment horizontal="center" vertical="top"/>
    </xf>
    <xf numFmtId="4" fontId="33" fillId="15" borderId="0" xfId="0" applyNumberFormat="1" applyFont="1" applyFill="1" applyAlignment="1">
      <alignment horizontal="center" vertical="top"/>
    </xf>
    <xf numFmtId="0" fontId="33" fillId="19" borderId="96" xfId="0" applyFont="1" applyFill="1" applyBorder="1" applyAlignment="1">
      <alignment horizontal="left" vertical="top" wrapText="1"/>
    </xf>
    <xf numFmtId="0" fontId="34" fillId="16" borderId="48" xfId="0" applyFont="1" applyFill="1" applyBorder="1" applyAlignment="1">
      <alignment horizontal="left" vertical="center" wrapText="1"/>
    </xf>
    <xf numFmtId="0" fontId="34" fillId="16" borderId="58" xfId="0" applyFont="1" applyFill="1" applyBorder="1" applyAlignment="1">
      <alignment horizontal="left" vertical="center" wrapText="1"/>
    </xf>
    <xf numFmtId="0" fontId="34" fillId="16" borderId="50" xfId="0" applyFont="1" applyFill="1" applyBorder="1" applyAlignment="1">
      <alignment horizontal="left" vertical="center" wrapText="1"/>
    </xf>
    <xf numFmtId="0" fontId="63" fillId="16" borderId="50" xfId="0" applyFont="1" applyFill="1" applyBorder="1" applyAlignment="1">
      <alignment horizontal="left" vertical="center" wrapText="1"/>
    </xf>
    <xf numFmtId="0" fontId="64" fillId="16" borderId="50" xfId="0" applyFont="1" applyFill="1" applyBorder="1" applyAlignment="1">
      <alignment horizontal="left" vertical="center" wrapText="1"/>
    </xf>
    <xf numFmtId="0" fontId="34" fillId="16" borderId="59" xfId="0" applyFont="1" applyFill="1" applyBorder="1" applyAlignment="1">
      <alignment horizontal="left" vertical="center" wrapText="1"/>
    </xf>
    <xf numFmtId="0" fontId="34" fillId="16" borderId="0" xfId="0" applyFont="1" applyFill="1" applyAlignment="1">
      <alignment horizontal="left" vertical="center" wrapText="1"/>
    </xf>
    <xf numFmtId="0" fontId="45" fillId="20" borderId="96" xfId="0" applyFont="1" applyFill="1" applyBorder="1" applyAlignment="1">
      <alignment horizontal="left" wrapText="1"/>
    </xf>
    <xf numFmtId="170" fontId="32" fillId="17" borderId="51" xfId="6" applyNumberFormat="1" applyFont="1" applyFill="1" applyBorder="1" applyAlignment="1">
      <alignment horizontal="center" vertical="top"/>
    </xf>
    <xf numFmtId="170" fontId="39" fillId="20" borderId="60" xfId="6" applyNumberFormat="1" applyFont="1" applyFill="1" applyBorder="1" applyAlignment="1">
      <alignment horizontal="center" vertical="top"/>
    </xf>
    <xf numFmtId="170" fontId="39" fillId="20" borderId="50" xfId="6" applyNumberFormat="1" applyFont="1" applyFill="1" applyBorder="1" applyAlignment="1">
      <alignment horizontal="center" vertical="top"/>
    </xf>
    <xf numFmtId="170" fontId="32" fillId="20" borderId="50" xfId="6" applyNumberFormat="1" applyFont="1" applyFill="1" applyBorder="1" applyAlignment="1">
      <alignment horizontal="center" vertical="top"/>
    </xf>
    <xf numFmtId="170" fontId="63" fillId="20" borderId="50" xfId="6" applyNumberFormat="1" applyFont="1" applyFill="1" applyBorder="1" applyAlignment="1">
      <alignment horizontal="center" vertical="top"/>
    </xf>
    <xf numFmtId="170" fontId="64" fillId="20" borderId="50" xfId="6" applyNumberFormat="1" applyFont="1" applyFill="1" applyBorder="1" applyAlignment="1">
      <alignment horizontal="center" vertical="top"/>
    </xf>
    <xf numFmtId="170" fontId="32" fillId="20" borderId="61" xfId="6" applyNumberFormat="1" applyFont="1" applyFill="1" applyBorder="1" applyAlignment="1">
      <alignment horizontal="center" vertical="top"/>
    </xf>
    <xf numFmtId="170" fontId="39" fillId="20" borderId="0" xfId="6" applyNumberFormat="1" applyFont="1" applyFill="1" applyAlignment="1">
      <alignment horizontal="center" vertical="top"/>
    </xf>
    <xf numFmtId="0" fontId="0" fillId="0" borderId="96" xfId="0" applyBorder="1" applyAlignment="1">
      <alignment horizontal="left"/>
    </xf>
    <xf numFmtId="0" fontId="34" fillId="21" borderId="58" xfId="0" applyFont="1" applyFill="1" applyBorder="1" applyAlignment="1">
      <alignment horizontal="left" vertical="center" wrapText="1"/>
    </xf>
    <xf numFmtId="0" fontId="34" fillId="21" borderId="50" xfId="0" applyFont="1" applyFill="1" applyBorder="1" applyAlignment="1">
      <alignment horizontal="left" vertical="center" wrapText="1"/>
    </xf>
    <xf numFmtId="0" fontId="63" fillId="21" borderId="50" xfId="0" applyFont="1" applyFill="1" applyBorder="1" applyAlignment="1">
      <alignment horizontal="left" vertical="center" wrapText="1"/>
    </xf>
    <xf numFmtId="0" fontId="64" fillId="21" borderId="50" xfId="0" applyFont="1" applyFill="1" applyBorder="1" applyAlignment="1">
      <alignment horizontal="left" vertical="center" wrapText="1"/>
    </xf>
    <xf numFmtId="0" fontId="34" fillId="21" borderId="59" xfId="0" applyFont="1" applyFill="1" applyBorder="1" applyAlignment="1">
      <alignment horizontal="left" vertical="center" wrapText="1"/>
    </xf>
    <xf numFmtId="0" fontId="34" fillId="21" borderId="0" xfId="0" applyFont="1" applyFill="1" applyAlignment="1">
      <alignment horizontal="left" vertical="center" wrapText="1"/>
    </xf>
    <xf numFmtId="0" fontId="0" fillId="22" borderId="56" xfId="0" applyFill="1" applyBorder="1" applyAlignment="1">
      <alignment horizontal="center"/>
    </xf>
    <xf numFmtId="0" fontId="0" fillId="22" borderId="50" xfId="0" applyFill="1" applyBorder="1" applyAlignment="1">
      <alignment horizontal="center"/>
    </xf>
    <xf numFmtId="0" fontId="31" fillId="22" borderId="50" xfId="0" applyFont="1" applyFill="1" applyBorder="1" applyAlignment="1">
      <alignment horizontal="center"/>
    </xf>
    <xf numFmtId="4" fontId="32" fillId="22" borderId="50" xfId="0" applyNumberFormat="1" applyFont="1" applyFill="1" applyBorder="1" applyAlignment="1">
      <alignment horizontal="center"/>
    </xf>
    <xf numFmtId="4" fontId="64" fillId="22" borderId="50" xfId="0" applyNumberFormat="1" applyFont="1" applyFill="1" applyBorder="1" applyAlignment="1">
      <alignment horizontal="center"/>
    </xf>
    <xf numFmtId="0" fontId="0" fillId="22" borderId="57" xfId="0" applyFill="1" applyBorder="1" applyAlignment="1">
      <alignment horizontal="center"/>
    </xf>
    <xf numFmtId="0" fontId="0" fillId="22" borderId="0" xfId="0" applyFill="1" applyAlignment="1">
      <alignment horizontal="center"/>
    </xf>
    <xf numFmtId="0" fontId="0" fillId="0" borderId="56" xfId="0" applyBorder="1" applyAlignment="1">
      <alignment horizontal="center"/>
    </xf>
    <xf numFmtId="0" fontId="0" fillId="0" borderId="50" xfId="0" applyBorder="1" applyAlignment="1">
      <alignment horizontal="center"/>
    </xf>
    <xf numFmtId="0" fontId="31" fillId="0" borderId="50" xfId="0" applyFont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0" fillId="0" borderId="57" xfId="0" applyBorder="1" applyAlignment="1">
      <alignment horizontal="center"/>
    </xf>
    <xf numFmtId="0" fontId="46" fillId="4" borderId="96" xfId="0" applyFont="1" applyFill="1" applyBorder="1" applyAlignment="1">
      <alignment horizontal="left" vertical="center"/>
    </xf>
    <xf numFmtId="0" fontId="0" fillId="4" borderId="0" xfId="0" applyFill="1" applyAlignment="1">
      <alignment horizontal="center"/>
    </xf>
    <xf numFmtId="0" fontId="0" fillId="4" borderId="50" xfId="0" applyFill="1" applyBorder="1" applyAlignment="1">
      <alignment horizontal="center"/>
    </xf>
    <xf numFmtId="0" fontId="31" fillId="4" borderId="50" xfId="0" applyFont="1" applyFill="1" applyBorder="1" applyAlignment="1">
      <alignment horizontal="center"/>
    </xf>
    <xf numFmtId="0" fontId="19" fillId="4" borderId="50" xfId="0" applyFont="1" applyFill="1" applyBorder="1" applyAlignment="1">
      <alignment horizontal="center"/>
    </xf>
    <xf numFmtId="0" fontId="0" fillId="26" borderId="96" xfId="0" applyFill="1" applyBorder="1" applyAlignment="1">
      <alignment horizontal="center"/>
    </xf>
    <xf numFmtId="0" fontId="53" fillId="5" borderId="96" xfId="0" applyFont="1" applyFill="1" applyBorder="1" applyAlignment="1">
      <alignment horizontal="center"/>
    </xf>
    <xf numFmtId="0" fontId="0" fillId="25" borderId="35" xfId="0" applyFill="1" applyBorder="1" applyAlignment="1">
      <alignment horizontal="center"/>
    </xf>
    <xf numFmtId="0" fontId="0" fillId="25" borderId="41" xfId="0" applyFill="1" applyBorder="1" applyAlignment="1">
      <alignment horizontal="center" wrapText="1"/>
    </xf>
    <xf numFmtId="0" fontId="0" fillId="25" borderId="43" xfId="0" applyFill="1" applyBorder="1" applyAlignment="1">
      <alignment horizontal="center" wrapText="1"/>
    </xf>
    <xf numFmtId="0" fontId="0" fillId="3" borderId="69" xfId="0" applyFill="1" applyBorder="1" applyAlignment="1">
      <alignment horizontal="center"/>
    </xf>
    <xf numFmtId="0" fontId="0" fillId="3" borderId="66" xfId="0" applyFill="1" applyBorder="1" applyAlignment="1">
      <alignment horizontal="center"/>
    </xf>
    <xf numFmtId="0" fontId="0" fillId="3" borderId="81" xfId="0" applyFill="1" applyBorder="1" applyAlignment="1">
      <alignment horizontal="center"/>
    </xf>
    <xf numFmtId="0" fontId="0" fillId="0" borderId="28" xfId="0" applyBorder="1" applyAlignment="1">
      <alignment horizontal="center"/>
    </xf>
    <xf numFmtId="4" fontId="41" fillId="0" borderId="30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3" borderId="70" xfId="0" applyFill="1" applyBorder="1" applyAlignment="1">
      <alignment horizontal="center"/>
    </xf>
    <xf numFmtId="0" fontId="0" fillId="3" borderId="67" xfId="0" applyFill="1" applyBorder="1" applyAlignment="1">
      <alignment horizontal="center"/>
    </xf>
    <xf numFmtId="0" fontId="0" fillId="3" borderId="82" xfId="0" applyFill="1" applyBorder="1" applyAlignment="1">
      <alignment horizontal="center"/>
    </xf>
    <xf numFmtId="170" fontId="0" fillId="0" borderId="0" xfId="0" applyNumberFormat="1" applyAlignment="1">
      <alignment horizontal="center"/>
    </xf>
    <xf numFmtId="172" fontId="0" fillId="3" borderId="63" xfId="0" quotePrefix="1" applyNumberFormat="1" applyFill="1" applyBorder="1" applyAlignment="1">
      <alignment horizontal="center" vertical="center" wrapText="1"/>
    </xf>
    <xf numFmtId="0" fontId="0" fillId="3" borderId="74" xfId="0" applyFill="1" applyBorder="1" applyAlignment="1">
      <alignment vertical="center" wrapText="1"/>
    </xf>
    <xf numFmtId="0" fontId="0" fillId="3" borderId="71" xfId="0" applyFill="1" applyBorder="1" applyAlignment="1">
      <alignment horizontal="center"/>
    </xf>
    <xf numFmtId="0" fontId="0" fillId="3" borderId="68" xfId="0" applyFill="1" applyBorder="1" applyAlignment="1">
      <alignment horizontal="center"/>
    </xf>
    <xf numFmtId="0" fontId="0" fillId="3" borderId="83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1" fillId="0" borderId="28" xfId="0" applyFont="1" applyBorder="1" applyAlignment="1">
      <alignment horizontal="center"/>
    </xf>
    <xf numFmtId="0" fontId="41" fillId="0" borderId="45" xfId="0" applyFont="1" applyBorder="1" applyAlignment="1">
      <alignment horizontal="center"/>
    </xf>
    <xf numFmtId="4" fontId="41" fillId="0" borderId="47" xfId="0" applyNumberFormat="1" applyFont="1" applyBorder="1" applyAlignment="1">
      <alignment horizontal="center"/>
    </xf>
    <xf numFmtId="10" fontId="0" fillId="6" borderId="63" xfId="0" applyNumberFormat="1" applyFill="1" applyBorder="1" applyAlignment="1">
      <alignment horizontal="center"/>
    </xf>
    <xf numFmtId="0" fontId="41" fillId="0" borderId="0" xfId="0" applyFont="1" applyAlignment="1">
      <alignment horizontal="center"/>
    </xf>
    <xf numFmtId="10" fontId="41" fillId="0" borderId="40" xfId="0" applyNumberFormat="1" applyFont="1" applyBorder="1" applyAlignment="1">
      <alignment horizontal="center"/>
    </xf>
    <xf numFmtId="0" fontId="0" fillId="6" borderId="63" xfId="0" applyFill="1" applyBorder="1" applyAlignment="1">
      <alignment horizontal="center"/>
    </xf>
    <xf numFmtId="10" fontId="91" fillId="0" borderId="40" xfId="0" applyNumberFormat="1" applyFont="1" applyBorder="1" applyAlignment="1">
      <alignment horizontal="center"/>
    </xf>
    <xf numFmtId="0" fontId="0" fillId="5" borderId="65" xfId="0" applyFill="1" applyBorder="1" applyAlignment="1">
      <alignment horizontal="center" vertical="center"/>
    </xf>
    <xf numFmtId="0" fontId="0" fillId="5" borderId="72" xfId="0" applyFill="1" applyBorder="1" applyAlignment="1">
      <alignment horizontal="center" vertical="center"/>
    </xf>
    <xf numFmtId="0" fontId="0" fillId="5" borderId="64" xfId="0" applyFill="1" applyBorder="1" applyAlignment="1">
      <alignment horizontal="center" vertical="center"/>
    </xf>
    <xf numFmtId="0" fontId="0" fillId="5" borderId="62" xfId="0" applyFill="1" applyBorder="1" applyAlignment="1">
      <alignment horizontal="center" vertical="center"/>
    </xf>
    <xf numFmtId="0" fontId="10" fillId="0" borderId="0" xfId="0" applyFont="1"/>
    <xf numFmtId="2" fontId="25" fillId="3" borderId="29" xfId="0" applyNumberFormat="1" applyFont="1" applyFill="1" applyBorder="1" applyAlignment="1" applyProtection="1">
      <alignment horizontal="center"/>
      <protection locked="0"/>
    </xf>
    <xf numFmtId="2" fontId="25" fillId="0" borderId="29" xfId="0" applyNumberFormat="1" applyFont="1" applyBorder="1" applyAlignment="1" applyProtection="1">
      <alignment horizontal="center"/>
      <protection locked="0"/>
    </xf>
    <xf numFmtId="2" fontId="25" fillId="0" borderId="52" xfId="0" applyNumberFormat="1" applyFont="1" applyBorder="1" applyAlignment="1" applyProtection="1">
      <alignment horizontal="center"/>
      <protection locked="0"/>
    </xf>
    <xf numFmtId="0" fontId="62" fillId="3" borderId="77" xfId="0" applyFont="1" applyFill="1" applyBorder="1" applyAlignment="1" applyProtection="1">
      <alignment horizontal="center"/>
      <protection locked="0"/>
    </xf>
    <xf numFmtId="0" fontId="62" fillId="3" borderId="29" xfId="0" applyFont="1" applyFill="1" applyBorder="1" applyAlignment="1" applyProtection="1">
      <alignment horizontal="center"/>
      <protection locked="0"/>
    </xf>
    <xf numFmtId="0" fontId="62" fillId="0" borderId="77" xfId="0" applyFont="1" applyBorder="1" applyAlignment="1" applyProtection="1">
      <alignment horizontal="center"/>
      <protection locked="0"/>
    </xf>
    <xf numFmtId="0" fontId="62" fillId="0" borderId="29" xfId="0" applyFont="1" applyBorder="1" applyAlignment="1" applyProtection="1">
      <alignment horizontal="center"/>
      <protection locked="0"/>
    </xf>
    <xf numFmtId="0" fontId="62" fillId="0" borderId="54" xfId="0" applyFont="1" applyBorder="1" applyAlignment="1" applyProtection="1">
      <alignment horizontal="center"/>
      <protection locked="0"/>
    </xf>
    <xf numFmtId="0" fontId="62" fillId="0" borderId="52" xfId="0" applyFont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 wrapText="1"/>
    </xf>
    <xf numFmtId="0" fontId="0" fillId="0" borderId="0" xfId="0" applyAlignment="1">
      <alignment horizontal="left" wrapText="1"/>
    </xf>
    <xf numFmtId="0" fontId="0" fillId="5" borderId="24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/>
    </xf>
    <xf numFmtId="0" fontId="82" fillId="26" borderId="0" xfId="0" applyFont="1" applyFill="1" applyAlignment="1">
      <alignment horizontal="center"/>
    </xf>
    <xf numFmtId="0" fontId="68" fillId="26" borderId="0" xfId="0" applyFont="1" applyFill="1" applyAlignment="1">
      <alignment horizontal="center"/>
    </xf>
    <xf numFmtId="0" fontId="0" fillId="0" borderId="0" xfId="0" quotePrefix="1" applyAlignment="1">
      <alignment horizontal="left" vertical="top" wrapText="1"/>
    </xf>
    <xf numFmtId="4" fontId="93" fillId="3" borderId="32" xfId="0" applyNumberFormat="1" applyFont="1" applyFill="1" applyBorder="1" applyAlignment="1">
      <alignment horizontal="center" vertical="center"/>
    </xf>
    <xf numFmtId="4" fontId="93" fillId="3" borderId="26" xfId="0" applyNumberFormat="1" applyFont="1" applyFill="1" applyBorder="1" applyAlignment="1">
      <alignment horizontal="center" vertical="center"/>
    </xf>
    <xf numFmtId="4" fontId="0" fillId="26" borderId="0" xfId="0" applyNumberFormat="1" applyFill="1" applyAlignment="1">
      <alignment horizontal="right"/>
    </xf>
    <xf numFmtId="0" fontId="0" fillId="26" borderId="0" xfId="0" applyFill="1" applyAlignment="1">
      <alignment horizontal="right"/>
    </xf>
    <xf numFmtId="4" fontId="85" fillId="9" borderId="0" xfId="0" applyNumberFormat="1" applyFont="1" applyFill="1" applyAlignment="1">
      <alignment horizontal="right"/>
    </xf>
    <xf numFmtId="0" fontId="79" fillId="9" borderId="0" xfId="0" applyFont="1" applyFill="1" applyAlignment="1">
      <alignment horizontal="right"/>
    </xf>
    <xf numFmtId="4" fontId="52" fillId="0" borderId="13" xfId="0" applyNumberFormat="1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/>
    </xf>
    <xf numFmtId="0" fontId="53" fillId="0" borderId="15" xfId="0" applyFont="1" applyBorder="1" applyAlignment="1">
      <alignment horizontal="center" vertical="center"/>
    </xf>
    <xf numFmtId="0" fontId="81" fillId="26" borderId="0" xfId="0" applyFont="1" applyFill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17" fillId="0" borderId="1" xfId="3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9" fillId="0" borderId="1" xfId="3" applyBorder="1" applyAlignment="1">
      <alignment horizontal="left" vertical="center" wrapText="1"/>
    </xf>
    <xf numFmtId="4" fontId="1" fillId="25" borderId="21" xfId="0" applyNumberFormat="1" applyFont="1" applyFill="1" applyBorder="1" applyAlignment="1">
      <alignment horizontal="center" vertical="center" wrapText="1"/>
    </xf>
    <xf numFmtId="4" fontId="2" fillId="25" borderId="22" xfId="0" applyNumberFormat="1" applyFont="1" applyFill="1" applyBorder="1" applyAlignment="1">
      <alignment horizontal="center" vertical="center"/>
    </xf>
    <xf numFmtId="4" fontId="2" fillId="23" borderId="13" xfId="0" applyNumberFormat="1" applyFont="1" applyFill="1" applyBorder="1" applyAlignment="1">
      <alignment horizontal="center" vertical="center" wrapText="1"/>
    </xf>
    <xf numFmtId="4" fontId="2" fillId="23" borderId="14" xfId="0" applyNumberFormat="1" applyFont="1" applyFill="1" applyBorder="1" applyAlignment="1">
      <alignment horizontal="center" vertical="center" wrapText="1"/>
    </xf>
    <xf numFmtId="4" fontId="2" fillId="23" borderId="15" xfId="0" applyNumberFormat="1" applyFont="1" applyFill="1" applyBorder="1" applyAlignment="1">
      <alignment horizontal="center" vertical="center" wrapText="1"/>
    </xf>
    <xf numFmtId="0" fontId="2" fillId="25" borderId="20" xfId="0" applyFont="1" applyFill="1" applyBorder="1" applyAlignment="1">
      <alignment horizontal="center" vertical="center" wrapText="1"/>
    </xf>
    <xf numFmtId="0" fontId="2" fillId="25" borderId="3" xfId="0" applyFont="1" applyFill="1" applyBorder="1" applyAlignment="1">
      <alignment wrapText="1"/>
    </xf>
    <xf numFmtId="0" fontId="2" fillId="25" borderId="17" xfId="0" applyFont="1" applyFill="1" applyBorder="1" applyAlignment="1">
      <alignment wrapText="1"/>
    </xf>
    <xf numFmtId="0" fontId="2" fillId="25" borderId="18" xfId="0" applyFont="1" applyFill="1" applyBorder="1" applyAlignment="1">
      <alignment wrapText="1"/>
    </xf>
    <xf numFmtId="0" fontId="1" fillId="25" borderId="20" xfId="0" applyFont="1" applyFill="1" applyBorder="1" applyAlignment="1">
      <alignment horizontal="center" vertical="center" wrapText="1"/>
    </xf>
    <xf numFmtId="0" fontId="0" fillId="25" borderId="4" xfId="0" applyFill="1" applyBorder="1" applyAlignment="1">
      <alignment horizontal="center" vertical="center"/>
    </xf>
    <xf numFmtId="0" fontId="2" fillId="25" borderId="17" xfId="0" applyFont="1" applyFill="1" applyBorder="1" applyAlignment="1">
      <alignment horizontal="center" vertical="center"/>
    </xf>
    <xf numFmtId="0" fontId="0" fillId="25" borderId="19" xfId="0" applyFill="1" applyBorder="1" applyAlignment="1">
      <alignment horizontal="center" vertical="center"/>
    </xf>
    <xf numFmtId="4" fontId="1" fillId="25" borderId="20" xfId="0" applyNumberFormat="1" applyFont="1" applyFill="1" applyBorder="1" applyAlignment="1">
      <alignment horizontal="center" vertical="center" wrapText="1"/>
    </xf>
    <xf numFmtId="4" fontId="2" fillId="25" borderId="17" xfId="0" applyNumberFormat="1" applyFont="1" applyFill="1" applyBorder="1" applyAlignment="1">
      <alignment horizontal="center" vertical="center"/>
    </xf>
    <xf numFmtId="0" fontId="1" fillId="25" borderId="21" xfId="0" applyFont="1" applyFill="1" applyBorder="1" applyAlignment="1">
      <alignment horizontal="center" vertical="center" wrapText="1"/>
    </xf>
    <xf numFmtId="0" fontId="2" fillId="25" borderId="22" xfId="0" applyFont="1" applyFill="1" applyBorder="1" applyAlignment="1">
      <alignment horizontal="center" vertical="center"/>
    </xf>
    <xf numFmtId="165" fontId="1" fillId="25" borderId="21" xfId="0" applyNumberFormat="1" applyFont="1" applyFill="1" applyBorder="1" applyAlignment="1">
      <alignment horizontal="center" vertical="center" wrapText="1"/>
    </xf>
    <xf numFmtId="165" fontId="2" fillId="25" borderId="22" xfId="0" applyNumberFormat="1" applyFont="1" applyFill="1" applyBorder="1" applyAlignment="1">
      <alignment horizontal="center" vertical="center" wrapText="1"/>
    </xf>
    <xf numFmtId="0" fontId="6" fillId="24" borderId="14" xfId="0" applyFont="1" applyFill="1" applyBorder="1"/>
    <xf numFmtId="0" fontId="0" fillId="24" borderId="14" xfId="0" applyFill="1" applyBorder="1"/>
    <xf numFmtId="0" fontId="0" fillId="24" borderId="15" xfId="0" applyFill="1" applyBorder="1"/>
    <xf numFmtId="4" fontId="13" fillId="0" borderId="29" xfId="0" applyNumberFormat="1" applyFont="1" applyBorder="1" applyAlignment="1">
      <alignment horizontal="center"/>
    </xf>
    <xf numFmtId="4" fontId="14" fillId="0" borderId="80" xfId="0" applyNumberFormat="1" applyFont="1" applyBorder="1" applyAlignment="1">
      <alignment horizontal="center"/>
    </xf>
    <xf numFmtId="0" fontId="37" fillId="5" borderId="13" xfId="0" applyFont="1" applyFill="1" applyBorder="1" applyAlignment="1">
      <alignment horizontal="left" vertical="center" wrapText="1"/>
    </xf>
    <xf numFmtId="0" fontId="37" fillId="5" borderId="14" xfId="0" applyFont="1" applyFill="1" applyBorder="1" applyAlignment="1">
      <alignment horizontal="left" vertical="center" wrapText="1"/>
    </xf>
    <xf numFmtId="0" fontId="37" fillId="5" borderId="15" xfId="0" applyFont="1" applyFill="1" applyBorder="1" applyAlignment="1">
      <alignment horizontal="left" vertical="center" wrapText="1"/>
    </xf>
    <xf numFmtId="4" fontId="4" fillId="0" borderId="92" xfId="0" applyNumberFormat="1" applyFont="1" applyBorder="1" applyAlignment="1">
      <alignment horizontal="center" vertical="center"/>
    </xf>
    <xf numFmtId="4" fontId="0" fillId="0" borderId="92" xfId="0" applyNumberFormat="1" applyBorder="1" applyAlignment="1">
      <alignment vertical="center"/>
    </xf>
    <xf numFmtId="4" fontId="0" fillId="0" borderId="93" xfId="0" applyNumberFormat="1" applyBorder="1" applyAlignment="1">
      <alignment horizontal="center" vertical="center"/>
    </xf>
    <xf numFmtId="0" fontId="2" fillId="25" borderId="0" xfId="0" applyFont="1" applyFill="1" applyAlignment="1">
      <alignment wrapText="1"/>
    </xf>
    <xf numFmtId="0" fontId="1" fillId="25" borderId="2" xfId="0" applyFont="1" applyFill="1" applyBorder="1" applyAlignment="1">
      <alignment horizontal="center" vertical="center" wrapText="1"/>
    </xf>
    <xf numFmtId="0" fontId="1" fillId="25" borderId="17" xfId="0" applyFont="1" applyFill="1" applyBorder="1" applyAlignment="1">
      <alignment horizontal="center" vertical="center" wrapText="1"/>
    </xf>
    <xf numFmtId="4" fontId="1" fillId="25" borderId="2" xfId="0" applyNumberFormat="1" applyFont="1" applyFill="1" applyBorder="1" applyAlignment="1">
      <alignment horizontal="center" vertical="center" wrapText="1"/>
    </xf>
    <xf numFmtId="4" fontId="1" fillId="25" borderId="16" xfId="0" applyNumberFormat="1" applyFont="1" applyFill="1" applyBorder="1" applyAlignment="1">
      <alignment horizontal="center" vertical="center" wrapText="1"/>
    </xf>
    <xf numFmtId="4" fontId="1" fillId="25" borderId="17" xfId="0" applyNumberFormat="1" applyFont="1" applyFill="1" applyBorder="1" applyAlignment="1">
      <alignment horizontal="center" vertical="center" wrapText="1"/>
    </xf>
    <xf numFmtId="4" fontId="1" fillId="25" borderId="19" xfId="0" applyNumberFormat="1" applyFont="1" applyFill="1" applyBorder="1" applyAlignment="1">
      <alignment horizontal="center" vertical="center" wrapText="1"/>
    </xf>
    <xf numFmtId="0" fontId="6" fillId="24" borderId="14" xfId="0" applyFont="1" applyFill="1" applyBorder="1" applyAlignment="1">
      <alignment wrapText="1"/>
    </xf>
    <xf numFmtId="0" fontId="52" fillId="24" borderId="13" xfId="0" applyFont="1" applyFill="1" applyBorder="1"/>
    <xf numFmtId="0" fontId="53" fillId="24" borderId="14" xfId="0" applyFont="1" applyFill="1" applyBorder="1"/>
    <xf numFmtId="0" fontId="53" fillId="24" borderId="15" xfId="0" applyFont="1" applyFill="1" applyBorder="1"/>
    <xf numFmtId="0" fontId="0" fillId="25" borderId="4" xfId="0" applyFill="1" applyBorder="1" applyAlignment="1">
      <alignment horizontal="center" vertical="center" wrapText="1"/>
    </xf>
    <xf numFmtId="0" fontId="0" fillId="25" borderId="19" xfId="0" applyFill="1" applyBorder="1" applyAlignment="1">
      <alignment horizontal="center" vertical="center" wrapText="1"/>
    </xf>
    <xf numFmtId="4" fontId="13" fillId="0" borderId="29" xfId="0" applyNumberFormat="1" applyFont="1" applyBorder="1" applyAlignment="1" applyProtection="1">
      <alignment horizontal="center"/>
      <protection locked="0"/>
    </xf>
    <xf numFmtId="4" fontId="4" fillId="0" borderId="92" xfId="0" applyNumberFormat="1" applyFont="1" applyBorder="1" applyAlignment="1" applyProtection="1">
      <alignment horizontal="center" vertical="center"/>
      <protection locked="0"/>
    </xf>
    <xf numFmtId="4" fontId="72" fillId="23" borderId="86" xfId="0" applyNumberFormat="1" applyFont="1" applyFill="1" applyBorder="1" applyAlignment="1">
      <alignment horizontal="center" vertical="center" wrapText="1"/>
    </xf>
    <xf numFmtId="0" fontId="73" fillId="23" borderId="86" xfId="0" applyFont="1" applyFill="1" applyBorder="1" applyAlignment="1">
      <alignment horizontal="center" vertical="center" wrapText="1"/>
    </xf>
    <xf numFmtId="0" fontId="82" fillId="26" borderId="2" xfId="0" applyFont="1" applyFill="1" applyBorder="1" applyAlignment="1">
      <alignment horizontal="center" vertical="center"/>
    </xf>
    <xf numFmtId="0" fontId="0" fillId="26" borderId="0" xfId="0" applyFill="1"/>
    <xf numFmtId="0" fontId="0" fillId="26" borderId="16" xfId="0" applyFill="1" applyBorder="1"/>
    <xf numFmtId="0" fontId="12" fillId="5" borderId="0" xfId="0" applyFont="1" applyFill="1" applyAlignment="1">
      <alignment wrapText="1"/>
    </xf>
    <xf numFmtId="0" fontId="0" fillId="5" borderId="0" xfId="0" applyFill="1"/>
    <xf numFmtId="0" fontId="9" fillId="0" borderId="0" xfId="3" applyAlignment="1">
      <alignment horizontal="left" vertical="center" wrapText="1"/>
    </xf>
    <xf numFmtId="0" fontId="9" fillId="0" borderId="16" xfId="3" applyBorder="1" applyAlignment="1">
      <alignment horizontal="left" vertical="center" wrapText="1"/>
    </xf>
    <xf numFmtId="0" fontId="16" fillId="0" borderId="23" xfId="3" applyFont="1" applyBorder="1" applyAlignment="1">
      <alignment horizontal="left" vertical="center" wrapText="1"/>
    </xf>
    <xf numFmtId="0" fontId="16" fillId="0" borderId="3" xfId="3" applyFont="1" applyBorder="1" applyAlignment="1">
      <alignment horizontal="left" vertical="center" wrapText="1"/>
    </xf>
    <xf numFmtId="4" fontId="1" fillId="25" borderId="13" xfId="0" applyNumberFormat="1" applyFont="1" applyFill="1" applyBorder="1" applyAlignment="1">
      <alignment horizontal="center" vertical="center" wrapText="1"/>
    </xf>
    <xf numFmtId="4" fontId="2" fillId="25" borderId="14" xfId="0" applyNumberFormat="1" applyFont="1" applyFill="1" applyBorder="1" applyAlignment="1">
      <alignment horizontal="center" vertical="center" wrapText="1"/>
    </xf>
    <xf numFmtId="4" fontId="2" fillId="2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/>
    </xf>
    <xf numFmtId="0" fontId="16" fillId="0" borderId="4" xfId="3" applyFont="1" applyBorder="1" applyAlignment="1">
      <alignment horizontal="left" vertical="center" wrapText="1"/>
    </xf>
    <xf numFmtId="0" fontId="9" fillId="0" borderId="3" xfId="3" applyBorder="1" applyAlignment="1">
      <alignment horizontal="left" vertical="center" wrapText="1"/>
    </xf>
    <xf numFmtId="0" fontId="9" fillId="0" borderId="4" xfId="3" applyBorder="1" applyAlignment="1">
      <alignment horizontal="left" vertical="center" wrapText="1"/>
    </xf>
    <xf numFmtId="0" fontId="9" fillId="0" borderId="18" xfId="3" applyBorder="1" applyAlignment="1">
      <alignment horizontal="left" vertical="center" wrapText="1"/>
    </xf>
    <xf numFmtId="0" fontId="1" fillId="25" borderId="22" xfId="0" applyFont="1" applyFill="1" applyBorder="1" applyAlignment="1">
      <alignment horizontal="center" vertical="center" wrapText="1"/>
    </xf>
    <xf numFmtId="165" fontId="1" fillId="25" borderId="22" xfId="0" applyNumberFormat="1" applyFont="1" applyFill="1" applyBorder="1" applyAlignment="1">
      <alignment horizontal="center" vertical="center" wrapText="1"/>
    </xf>
    <xf numFmtId="0" fontId="60" fillId="26" borderId="0" xfId="0" applyFont="1" applyFill="1" applyAlignment="1">
      <alignment horizontal="center"/>
    </xf>
    <xf numFmtId="0" fontId="50" fillId="0" borderId="96" xfId="0" applyFont="1" applyBorder="1" applyAlignment="1">
      <alignment horizontal="left"/>
    </xf>
    <xf numFmtId="0" fontId="0" fillId="0" borderId="40" xfId="0" applyBorder="1" applyAlignment="1">
      <alignment horizontal="left"/>
    </xf>
    <xf numFmtId="10" fontId="41" fillId="5" borderId="107" xfId="5" applyNumberFormat="1" applyFont="1" applyFill="1" applyBorder="1" applyAlignment="1" applyProtection="1">
      <alignment horizontal="center" vertical="center"/>
    </xf>
    <xf numFmtId="10" fontId="41" fillId="5" borderId="108" xfId="5" applyNumberFormat="1" applyFont="1" applyFill="1" applyBorder="1" applyAlignment="1" applyProtection="1">
      <alignment horizontal="center" vertical="center"/>
    </xf>
    <xf numFmtId="0" fontId="46" fillId="22" borderId="96" xfId="0" applyFont="1" applyFill="1" applyBorder="1" applyAlignment="1">
      <alignment horizontal="left" vertical="center" wrapText="1"/>
    </xf>
    <xf numFmtId="0" fontId="0" fillId="3" borderId="63" xfId="0" applyFill="1" applyBorder="1" applyAlignment="1">
      <alignment horizontal="center" vertical="center"/>
    </xf>
    <xf numFmtId="9" fontId="41" fillId="5" borderId="72" xfId="5" applyFont="1" applyFill="1" applyBorder="1" applyAlignment="1" applyProtection="1">
      <alignment horizontal="center" vertical="center"/>
    </xf>
    <xf numFmtId="9" fontId="41" fillId="5" borderId="73" xfId="5" applyFont="1" applyFill="1" applyBorder="1" applyAlignment="1" applyProtection="1">
      <alignment horizontal="center" vertical="center"/>
    </xf>
    <xf numFmtId="0" fontId="0" fillId="3" borderId="131" xfId="0" applyFill="1" applyBorder="1" applyAlignment="1">
      <alignment horizontal="center" vertical="center" wrapText="1"/>
    </xf>
    <xf numFmtId="0" fontId="0" fillId="3" borderId="63" xfId="0" applyFill="1" applyBorder="1" applyAlignment="1">
      <alignment horizontal="center" vertical="center" wrapText="1"/>
    </xf>
    <xf numFmtId="0" fontId="41" fillId="3" borderId="131" xfId="0" applyFont="1" applyFill="1" applyBorder="1" applyAlignment="1">
      <alignment horizontal="center" vertical="center" wrapText="1"/>
    </xf>
    <xf numFmtId="0" fontId="41" fillId="3" borderId="63" xfId="0" applyFont="1" applyFill="1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31" fillId="0" borderId="0" xfId="0" applyFont="1" applyAlignment="1">
      <alignment horizontal="left"/>
    </xf>
    <xf numFmtId="0" fontId="88" fillId="26" borderId="2" xfId="0" applyFont="1" applyFill="1" applyBorder="1" applyAlignment="1">
      <alignment horizontal="center"/>
    </xf>
    <xf numFmtId="0" fontId="71" fillId="26" borderId="0" xfId="0" applyFont="1" applyFill="1" applyAlignment="1">
      <alignment horizontal="center"/>
    </xf>
    <xf numFmtId="0" fontId="71" fillId="26" borderId="16" xfId="0" applyFont="1" applyFill="1" applyBorder="1" applyAlignment="1">
      <alignment horizontal="center"/>
    </xf>
    <xf numFmtId="0" fontId="25" fillId="0" borderId="5" xfId="0" applyFont="1" applyBorder="1" applyAlignment="1">
      <alignment horizontal="center" wrapText="1"/>
    </xf>
    <xf numFmtId="0" fontId="25" fillId="0" borderId="110" xfId="0" applyFont="1" applyBorder="1" applyAlignment="1">
      <alignment horizontal="center" wrapText="1"/>
    </xf>
    <xf numFmtId="0" fontId="0" fillId="25" borderId="132" xfId="0" applyFill="1" applyBorder="1" applyAlignment="1">
      <alignment horizontal="center" vertical="center" wrapText="1"/>
    </xf>
    <xf numFmtId="0" fontId="0" fillId="25" borderId="133" xfId="0" applyFill="1" applyBorder="1" applyAlignment="1">
      <alignment horizontal="center" vertical="center" wrapText="1"/>
    </xf>
    <xf numFmtId="0" fontId="0" fillId="27" borderId="13" xfId="0" applyFill="1" applyBorder="1" applyAlignment="1">
      <alignment horizontal="center"/>
    </xf>
    <xf numFmtId="0" fontId="0" fillId="27" borderId="15" xfId="0" applyFill="1" applyBorder="1" applyAlignment="1">
      <alignment horizontal="center"/>
    </xf>
    <xf numFmtId="0" fontId="82" fillId="26" borderId="0" xfId="0" applyFont="1" applyFill="1" applyAlignment="1">
      <alignment horizontal="center" wrapText="1"/>
    </xf>
    <xf numFmtId="0" fontId="82" fillId="26" borderId="62" xfId="0" applyFont="1" applyFill="1" applyBorder="1" applyAlignment="1">
      <alignment horizontal="center" wrapText="1"/>
    </xf>
    <xf numFmtId="0" fontId="12" fillId="5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 wrapText="1"/>
    </xf>
    <xf numFmtId="4" fontId="2" fillId="2" borderId="22" xfId="0" applyNumberFormat="1" applyFont="1" applyFill="1" applyBorder="1" applyAlignment="1">
      <alignment horizontal="center" vertical="center"/>
    </xf>
    <xf numFmtId="4" fontId="2" fillId="6" borderId="13" xfId="0" applyNumberFormat="1" applyFont="1" applyFill="1" applyBorder="1" applyAlignment="1">
      <alignment horizontal="center" vertical="center" wrapText="1"/>
    </xf>
    <xf numFmtId="4" fontId="2" fillId="6" borderId="14" xfId="0" applyNumberFormat="1" applyFont="1" applyFill="1" applyBorder="1" applyAlignment="1">
      <alignment horizontal="center" vertical="center" wrapText="1"/>
    </xf>
    <xf numFmtId="4" fontId="2" fillId="6" borderId="15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1" fillId="2" borderId="2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" fontId="1" fillId="2" borderId="20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165" fontId="1" fillId="2" borderId="21" xfId="0" applyNumberFormat="1" applyFont="1" applyFill="1" applyBorder="1" applyAlignment="1">
      <alignment horizontal="center" vertical="center" wrapText="1"/>
    </xf>
    <xf numFmtId="165" fontId="2" fillId="2" borderId="2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 applyProtection="1">
      <alignment horizontal="center"/>
      <protection locked="0"/>
    </xf>
    <xf numFmtId="4" fontId="14" fillId="0" borderId="16" xfId="0" applyNumberFormat="1" applyFont="1" applyBorder="1" applyAlignment="1">
      <alignment horizontal="center"/>
    </xf>
    <xf numFmtId="4" fontId="4" fillId="0" borderId="0" xfId="0" applyNumberFormat="1" applyFont="1" applyAlignment="1" applyProtection="1">
      <alignment horizontal="center"/>
      <protection locked="0"/>
    </xf>
    <xf numFmtId="0" fontId="0" fillId="0" borderId="16" xfId="0" applyBorder="1" applyAlignment="1">
      <alignment horizontal="center"/>
    </xf>
    <xf numFmtId="0" fontId="37" fillId="4" borderId="13" xfId="0" applyFont="1" applyFill="1" applyBorder="1" applyAlignment="1">
      <alignment horizontal="center" vertical="center" wrapText="1"/>
    </xf>
    <xf numFmtId="0" fontId="37" fillId="4" borderId="14" xfId="0" applyFont="1" applyFill="1" applyBorder="1" applyAlignment="1">
      <alignment horizontal="center" vertical="center" wrapText="1"/>
    </xf>
    <xf numFmtId="0" fontId="37" fillId="4" borderId="15" xfId="0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vertical="center"/>
    </xf>
    <xf numFmtId="4" fontId="0" fillId="0" borderId="4" xfId="0" applyNumberForma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horizontal="center" vertical="center" wrapText="1"/>
    </xf>
    <xf numFmtId="4" fontId="1" fillId="2" borderId="19" xfId="0" applyNumberFormat="1" applyFont="1" applyFill="1" applyBorder="1" applyAlignment="1">
      <alignment horizontal="center" vertical="center" wrapText="1"/>
    </xf>
    <xf numFmtId="0" fontId="0" fillId="23" borderId="29" xfId="0" applyFill="1" applyBorder="1" applyAlignment="1" applyProtection="1">
      <alignment horizontal="left" vertical="center"/>
      <protection locked="0"/>
    </xf>
  </cellXfs>
  <cellStyles count="17">
    <cellStyle name="Normal" xfId="0" builtinId="0"/>
    <cellStyle name="Normal 13" xfId="2" xr:uid="{00000000-0005-0000-0000-000001000000}"/>
    <cellStyle name="Normal 2" xfId="6" xr:uid="{00000000-0005-0000-0000-000002000000}"/>
    <cellStyle name="Normal 2 2" xfId="12" xr:uid="{00000000-0005-0000-0000-000003000000}"/>
    <cellStyle name="Normal 2 6" xfId="1" xr:uid="{00000000-0005-0000-0000-000004000000}"/>
    <cellStyle name="Normal 3" xfId="11" xr:uid="{00000000-0005-0000-0000-000005000000}"/>
    <cellStyle name="Normal 4" xfId="8" xr:uid="{00000000-0005-0000-0000-000006000000}"/>
    <cellStyle name="Normal 5" xfId="13" xr:uid="{00000000-0005-0000-0000-000007000000}"/>
    <cellStyle name="Normalno 2" xfId="4" xr:uid="{00000000-0005-0000-0000-000008000000}"/>
    <cellStyle name="Normalno 2 2" xfId="7" xr:uid="{00000000-0005-0000-0000-000009000000}"/>
    <cellStyle name="Normalno 2 3" xfId="3" xr:uid="{00000000-0005-0000-0000-00000A000000}"/>
    <cellStyle name="Normalno 3" xfId="9" xr:uid="{00000000-0005-0000-0000-00000B000000}"/>
    <cellStyle name="Normalno 4" xfId="15" xr:uid="{00000000-0005-0000-0000-00000C000000}"/>
    <cellStyle name="Normalno 5" xfId="16" xr:uid="{00000000-0005-0000-0000-00000D000000}"/>
    <cellStyle name="Normalno 6" xfId="10" xr:uid="{00000000-0005-0000-0000-00000E000000}"/>
    <cellStyle name="Percent" xfId="5" builtinId="5"/>
    <cellStyle name="Zarez 2" xfId="14" xr:uid="{00000000-0005-0000-0000-000010000000}"/>
  </cellStyles>
  <dxfs count="0"/>
  <tableStyles count="0" defaultTableStyle="TableStyleMedium2" defaultPivotStyle="PivotStyleLight16"/>
  <colors>
    <mruColors>
      <color rgb="FFFFFF00"/>
      <color rgb="FF83C2F3"/>
      <color rgb="FFD8E4BC"/>
      <color rgb="FFB3E495"/>
      <color rgb="FFDAEEF3"/>
      <color rgb="FFDA6E57"/>
      <color rgb="FFDABFB1"/>
      <color rgb="FFDABCA8"/>
      <color rgb="FFFDE9D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Shared%20drives\COG\RAZLIKA%20U%20CIJENI-COG-HC-2023\10-2021-Analiza%20cijene%20usluga%20nadzora-COG-Sisak-most%20Odra.xlsx" TargetMode="External"/><Relationship Id="rId1" Type="http://schemas.openxmlformats.org/officeDocument/2006/relationships/externalLinkPath" Target="file:///G:\Shared%20drives\COG\RAZLIKA%20U%20CIJENI-COG-HC-2023\10-2021-Analiza%20cijene%20usluga%20nadzora-COG-Sisak-most%20Odr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Shared%20drives\COG\RAZLIKA%20U%20CIJENI-COG-HC-2023\11-2022-Analiza%20cijene%20usluga%20nadzora-COG-Sisak-most%20Odra.xlsx" TargetMode="External"/><Relationship Id="rId1" Type="http://schemas.openxmlformats.org/officeDocument/2006/relationships/externalLinkPath" Target="file:///G:\Shared%20drives\COG\RAZLIKA%20U%20CIJENI-COG-HC-2023\11-2022-Analiza%20cijene%20usluga%20nadzora-COG-Sisak-most%20Odr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Shared%20drives\COG\RAZLIKA%20U%20CIJENI-COG-HC-2023\RUC-Sisak-most%20Odra-02-2020.xlsx" TargetMode="External"/><Relationship Id="rId1" Type="http://schemas.openxmlformats.org/officeDocument/2006/relationships/externalLinkPath" Target="file:///G:\Shared%20drives\COG\RAZLIKA%20U%20CIJENI-COG-HC-2023\RUC-Sisak-most%20Odra-02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aliza usluga-10-2021"/>
      <sheetName val="Podanaliza-građevinar-10-2021"/>
      <sheetName val="Podanaliza-elektro.-10-2021"/>
      <sheetName val="Podanaliza-geodet.-10-2021"/>
      <sheetName val="Podanaliza-vozili"/>
    </sheetNames>
    <sheetDataSet>
      <sheetData sheetId="0">
        <row r="16">
          <cell r="F16">
            <v>2009.5345141486853</v>
          </cell>
        </row>
        <row r="20">
          <cell r="F20">
            <v>1777.6907823531176</v>
          </cell>
        </row>
        <row r="28">
          <cell r="G28">
            <v>2231061.6615153803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aliza usluga-11-2022"/>
      <sheetName val="Podanaliza-građevinar-11-2022"/>
      <sheetName val="Podanaliza-elektro.-11-2022"/>
      <sheetName val="Podanaliza-geodet.-11-2022"/>
      <sheetName val="Podanaliza-vozili"/>
    </sheetNames>
    <sheetDataSet>
      <sheetData sheetId="0">
        <row r="16">
          <cell r="F16">
            <v>2330.5114131047949</v>
          </cell>
        </row>
        <row r="20">
          <cell r="F20">
            <v>2041.9658150186706</v>
          </cell>
        </row>
        <row r="28">
          <cell r="G28">
            <v>2576210.4309021477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aslovnica"/>
      <sheetName val="Izračun RUC"/>
      <sheetName val="Izračun koef.-klizna skala"/>
      <sheetName val="Pregled promjena cijena"/>
      <sheetName val="Analiza usluga-02-2020"/>
      <sheetName val="Podanaliza-građevinar-02-2020"/>
      <sheetName val="Podanaliza-elektro.-02-2020"/>
      <sheetName val="Podanaliza-geodet.-02-2020"/>
      <sheetName val="Podanaliza-auto-02-2020-ponuda"/>
      <sheetName val="godisnji obracun 2020"/>
      <sheetName val="place 9.3.3."/>
      <sheetName val="strojevi 2.1.1.8."/>
      <sheetName val="TZ 13.1.2. NOVO-NEW"/>
      <sheetName val="Gorivo HGK"/>
      <sheetName val="List1"/>
    </sheetNames>
    <sheetDataSet>
      <sheetData sheetId="0"/>
      <sheetData sheetId="1"/>
      <sheetData sheetId="2"/>
      <sheetData sheetId="3"/>
      <sheetData sheetId="4">
        <row r="29">
          <cell r="G29">
            <v>2140994.6796160582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B1D29-FB72-4509-AF85-0422A96A7767}">
  <sheetPr>
    <pageSetUpPr fitToPage="1"/>
  </sheetPr>
  <dimension ref="A1:E198"/>
  <sheetViews>
    <sheetView tabSelected="1" workbookViewId="0">
      <selection activeCell="B1" sqref="B1:D1"/>
    </sheetView>
  </sheetViews>
  <sheetFormatPr defaultColWidth="9.140625" defaultRowHeight="15"/>
  <cols>
    <col min="1" max="1" width="17.28515625" style="33" customWidth="1"/>
    <col min="2" max="2" width="59.28515625" style="201" customWidth="1"/>
    <col min="3" max="3" width="33.7109375" style="33" customWidth="1"/>
    <col min="4" max="4" width="20.5703125" style="35" customWidth="1"/>
    <col min="5" max="5" width="8.140625" style="35" hidden="1" customWidth="1"/>
    <col min="6" max="16384" width="9.140625" style="33"/>
  </cols>
  <sheetData>
    <row r="1" spans="1:4">
      <c r="A1" s="201" t="s">
        <v>465</v>
      </c>
      <c r="B1" s="851"/>
      <c r="C1" s="851"/>
      <c r="D1" s="851"/>
    </row>
    <row r="2" spans="1:4">
      <c r="A2" s="535" t="s">
        <v>635</v>
      </c>
      <c r="B2" s="535"/>
      <c r="C2" s="535"/>
      <c r="D2" s="201"/>
    </row>
    <row r="3" spans="1:4">
      <c r="A3" s="535" t="s">
        <v>638</v>
      </c>
      <c r="B3" s="535"/>
      <c r="C3" s="535"/>
      <c r="D3" s="201"/>
    </row>
    <row r="4" spans="1:4">
      <c r="A4" s="535" t="s">
        <v>639</v>
      </c>
      <c r="B4" s="535"/>
      <c r="C4" s="535"/>
      <c r="D4" s="201"/>
    </row>
    <row r="5" spans="1:4">
      <c r="A5" s="535" t="s">
        <v>466</v>
      </c>
      <c r="B5" s="536"/>
      <c r="C5" s="535"/>
      <c r="D5" s="201"/>
    </row>
    <row r="6" spans="1:4" ht="45">
      <c r="A6" s="537" t="s">
        <v>636</v>
      </c>
      <c r="B6" s="535"/>
      <c r="C6" s="538"/>
    </row>
    <row r="7" spans="1:4">
      <c r="A7" s="539" t="s">
        <v>467</v>
      </c>
      <c r="B7" s="1005" t="s">
        <v>572</v>
      </c>
      <c r="C7" s="539" t="s">
        <v>494</v>
      </c>
      <c r="D7" s="619" t="s">
        <v>468</v>
      </c>
    </row>
    <row r="8" spans="1:4" s="35" customFormat="1">
      <c r="A8" s="540">
        <v>1</v>
      </c>
      <c r="B8" s="541" t="s">
        <v>469</v>
      </c>
      <c r="C8" s="540"/>
      <c r="D8" s="620"/>
    </row>
    <row r="9" spans="1:4" s="35" customFormat="1">
      <c r="A9" s="540">
        <v>2</v>
      </c>
      <c r="B9" s="541" t="s">
        <v>514</v>
      </c>
      <c r="C9" s="540"/>
      <c r="D9" s="620"/>
    </row>
    <row r="10" spans="1:4" s="35" customFormat="1">
      <c r="A10" s="540">
        <v>3</v>
      </c>
      <c r="B10" s="541" t="s">
        <v>520</v>
      </c>
      <c r="C10" s="540"/>
      <c r="D10" s="620"/>
    </row>
    <row r="11" spans="1:4" s="35" customFormat="1">
      <c r="A11" s="540">
        <v>4</v>
      </c>
      <c r="B11" s="541" t="s">
        <v>470</v>
      </c>
      <c r="C11" s="540"/>
      <c r="D11" s="620"/>
    </row>
    <row r="12" spans="1:4" s="35" customFormat="1">
      <c r="A12" s="540">
        <v>5</v>
      </c>
      <c r="B12" s="541" t="s">
        <v>471</v>
      </c>
      <c r="C12" s="540"/>
      <c r="D12" s="620"/>
    </row>
    <row r="13" spans="1:4" s="35" customFormat="1">
      <c r="A13" s="540">
        <v>6</v>
      </c>
      <c r="B13" s="541" t="s">
        <v>472</v>
      </c>
      <c r="C13" s="540"/>
      <c r="D13" s="620"/>
    </row>
    <row r="14" spans="1:4" s="35" customFormat="1">
      <c r="A14" s="540">
        <v>7</v>
      </c>
      <c r="B14" s="541" t="s">
        <v>516</v>
      </c>
      <c r="C14" s="540"/>
      <c r="D14" s="621"/>
    </row>
    <row r="15" spans="1:4" s="35" customFormat="1">
      <c r="A15" s="540">
        <v>8</v>
      </c>
      <c r="B15" s="541" t="s">
        <v>473</v>
      </c>
      <c r="C15" s="540"/>
      <c r="D15" s="620"/>
    </row>
    <row r="16" spans="1:4" s="35" customFormat="1">
      <c r="A16" s="540">
        <v>9</v>
      </c>
      <c r="B16" s="541" t="s">
        <v>517</v>
      </c>
      <c r="C16" s="540"/>
      <c r="D16" s="621"/>
    </row>
    <row r="17" spans="1:4" s="35" customFormat="1">
      <c r="A17" s="540">
        <v>10</v>
      </c>
      <c r="B17" s="541" t="s">
        <v>474</v>
      </c>
      <c r="C17" s="540"/>
      <c r="D17" s="620"/>
    </row>
    <row r="18" spans="1:4" s="35" customFormat="1">
      <c r="A18" s="540">
        <v>11</v>
      </c>
      <c r="B18" s="541" t="s">
        <v>475</v>
      </c>
      <c r="C18" s="540"/>
      <c r="D18" s="620"/>
    </row>
    <row r="19" spans="1:4" s="35" customFormat="1">
      <c r="A19" s="540">
        <v>12</v>
      </c>
      <c r="B19" s="541" t="s">
        <v>476</v>
      </c>
      <c r="C19" s="540"/>
      <c r="D19" s="620"/>
    </row>
    <row r="20" spans="1:4" s="35" customFormat="1">
      <c r="A20" s="540">
        <v>13</v>
      </c>
      <c r="B20" s="541" t="s">
        <v>477</v>
      </c>
      <c r="C20" s="540"/>
      <c r="D20" s="621"/>
    </row>
    <row r="21" spans="1:4" s="35" customFormat="1" ht="30" hidden="1">
      <c r="A21" s="542"/>
      <c r="B21" s="543" t="s">
        <v>478</v>
      </c>
      <c r="C21" s="540"/>
      <c r="D21" s="620"/>
    </row>
    <row r="22" spans="1:4" s="35" customFormat="1" hidden="1">
      <c r="A22" s="540">
        <v>14</v>
      </c>
      <c r="B22" s="544" t="s">
        <v>397</v>
      </c>
      <c r="C22" s="540"/>
      <c r="D22" s="620"/>
    </row>
    <row r="23" spans="1:4" s="35" customFormat="1" hidden="1">
      <c r="A23" s="540">
        <v>15</v>
      </c>
      <c r="B23" s="544" t="s">
        <v>479</v>
      </c>
      <c r="C23" s="540"/>
      <c r="D23" s="620"/>
    </row>
    <row r="24" spans="1:4" s="35" customFormat="1" hidden="1">
      <c r="A24" s="540">
        <v>16</v>
      </c>
      <c r="B24" s="544" t="s">
        <v>480</v>
      </c>
      <c r="C24" s="540"/>
      <c r="D24" s="620"/>
    </row>
    <row r="25" spans="1:4" s="35" customFormat="1" hidden="1">
      <c r="A25" s="540">
        <v>17</v>
      </c>
      <c r="B25" s="544" t="s">
        <v>352</v>
      </c>
      <c r="C25" s="540"/>
      <c r="D25" s="620"/>
    </row>
    <row r="26" spans="1:4" s="35" customFormat="1" hidden="1">
      <c r="A26" s="540"/>
      <c r="B26" s="544"/>
      <c r="C26" s="540"/>
      <c r="D26" s="620"/>
    </row>
    <row r="27" spans="1:4" s="35" customFormat="1">
      <c r="A27" s="540">
        <v>14</v>
      </c>
      <c r="B27" s="544" t="s">
        <v>512</v>
      </c>
      <c r="C27" s="540"/>
      <c r="D27" s="620"/>
    </row>
    <row r="28" spans="1:4" s="35" customFormat="1">
      <c r="A28" s="540">
        <v>15</v>
      </c>
      <c r="B28" s="541" t="s">
        <v>482</v>
      </c>
      <c r="C28" s="540"/>
      <c r="D28" s="621"/>
    </row>
    <row r="29" spans="1:4" s="35" customFormat="1">
      <c r="A29" s="540">
        <v>16</v>
      </c>
      <c r="B29" s="541" t="s">
        <v>483</v>
      </c>
      <c r="C29" s="540"/>
      <c r="D29" s="621"/>
    </row>
    <row r="30" spans="1:4" s="35" customFormat="1">
      <c r="A30" s="540">
        <v>17</v>
      </c>
      <c r="B30" s="544" t="s">
        <v>481</v>
      </c>
      <c r="C30" s="540"/>
      <c r="D30" s="620"/>
    </row>
    <row r="31" spans="1:4" s="35" customFormat="1">
      <c r="A31" s="540">
        <v>18</v>
      </c>
      <c r="B31" s="541" t="s">
        <v>484</v>
      </c>
      <c r="C31" s="540"/>
      <c r="D31" s="620"/>
    </row>
    <row r="32" spans="1:4" s="35" customFormat="1">
      <c r="A32" s="540">
        <v>19</v>
      </c>
      <c r="B32" s="541" t="s">
        <v>485</v>
      </c>
      <c r="C32" s="540"/>
      <c r="D32" s="620"/>
    </row>
    <row r="33" spans="1:4" s="35" customFormat="1">
      <c r="A33" s="540">
        <v>20</v>
      </c>
      <c r="B33" s="541" t="s">
        <v>38</v>
      </c>
      <c r="C33" s="540"/>
      <c r="D33" s="620"/>
    </row>
    <row r="34" spans="1:4" s="35" customFormat="1">
      <c r="A34" s="540">
        <v>21</v>
      </c>
      <c r="B34" s="541" t="s">
        <v>39</v>
      </c>
      <c r="C34" s="540"/>
      <c r="D34" s="621"/>
    </row>
    <row r="35" spans="1:4" s="35" customFormat="1">
      <c r="A35" s="540">
        <v>22</v>
      </c>
      <c r="B35" s="541" t="s">
        <v>486</v>
      </c>
      <c r="C35" s="540"/>
      <c r="D35" s="620"/>
    </row>
    <row r="36" spans="1:4" s="35" customFormat="1">
      <c r="A36" s="540">
        <v>23</v>
      </c>
      <c r="B36" s="541" t="s">
        <v>487</v>
      </c>
      <c r="C36" s="540"/>
      <c r="D36" s="620"/>
    </row>
    <row r="37" spans="1:4" s="35" customFormat="1" hidden="1">
      <c r="A37" s="540">
        <v>20</v>
      </c>
      <c r="B37" s="541" t="s">
        <v>405</v>
      </c>
      <c r="C37" s="540"/>
      <c r="D37" s="620"/>
    </row>
    <row r="38" spans="1:4" s="35" customFormat="1" hidden="1">
      <c r="A38" s="545">
        <v>21</v>
      </c>
      <c r="B38" s="546" t="s">
        <v>488</v>
      </c>
      <c r="C38" s="545"/>
      <c r="D38" s="622"/>
    </row>
    <row r="39" spans="1:4" s="35" customFormat="1">
      <c r="A39" s="540">
        <v>24</v>
      </c>
      <c r="B39" s="541" t="s">
        <v>523</v>
      </c>
      <c r="C39" s="540"/>
      <c r="D39" s="620"/>
    </row>
    <row r="40" spans="1:4" s="35" customFormat="1" ht="15.75" thickBot="1">
      <c r="A40" s="547">
        <v>25</v>
      </c>
      <c r="B40" s="548" t="s">
        <v>524</v>
      </c>
      <c r="C40" s="547"/>
      <c r="D40" s="623"/>
    </row>
    <row r="41" spans="1:4" ht="16.5" thickTop="1" thickBot="1">
      <c r="A41" s="549"/>
      <c r="B41" s="550" t="s">
        <v>571</v>
      </c>
      <c r="C41" s="551" t="s">
        <v>492</v>
      </c>
      <c r="D41" s="624" t="s">
        <v>493</v>
      </c>
    </row>
    <row r="42" spans="1:4" s="35" customFormat="1" ht="15.75" thickTop="1">
      <c r="A42" s="552">
        <v>1</v>
      </c>
      <c r="B42" s="553" t="s">
        <v>525</v>
      </c>
      <c r="C42" s="554"/>
      <c r="D42" s="625"/>
    </row>
    <row r="43" spans="1:4">
      <c r="A43" s="555">
        <v>2</v>
      </c>
      <c r="B43" s="556" t="s">
        <v>495</v>
      </c>
      <c r="C43" s="557"/>
      <c r="D43" s="599"/>
    </row>
    <row r="44" spans="1:4">
      <c r="A44" s="555">
        <v>3</v>
      </c>
      <c r="B44" s="556" t="s">
        <v>489</v>
      </c>
      <c r="C44" s="557"/>
      <c r="D44" s="601"/>
    </row>
    <row r="45" spans="1:4">
      <c r="A45" s="555">
        <v>4</v>
      </c>
      <c r="B45" s="556" t="s">
        <v>490</v>
      </c>
      <c r="C45" s="557"/>
      <c r="D45" s="599"/>
    </row>
    <row r="46" spans="1:4">
      <c r="A46" s="555">
        <v>5</v>
      </c>
      <c r="B46" s="556" t="s">
        <v>491</v>
      </c>
      <c r="C46" s="557"/>
      <c r="D46" s="601"/>
    </row>
    <row r="47" spans="1:4">
      <c r="A47" s="555">
        <v>6</v>
      </c>
      <c r="B47" s="556" t="s">
        <v>498</v>
      </c>
      <c r="C47" s="557"/>
      <c r="D47" s="601"/>
    </row>
    <row r="48" spans="1:4" hidden="1">
      <c r="A48" s="555"/>
      <c r="B48" s="556"/>
      <c r="C48" s="557"/>
      <c r="D48" s="601"/>
    </row>
    <row r="49" spans="1:4">
      <c r="A49" s="555">
        <v>7</v>
      </c>
      <c r="B49" s="556" t="s">
        <v>613</v>
      </c>
      <c r="C49" s="557"/>
      <c r="D49" s="601"/>
    </row>
    <row r="50" spans="1:4">
      <c r="A50" s="555"/>
      <c r="B50" s="556" t="s">
        <v>509</v>
      </c>
      <c r="C50" s="557"/>
      <c r="D50" s="601"/>
    </row>
    <row r="51" spans="1:4">
      <c r="A51" s="555">
        <v>8</v>
      </c>
      <c r="B51" s="556" t="s">
        <v>397</v>
      </c>
      <c r="C51" s="557"/>
      <c r="D51" s="601"/>
    </row>
    <row r="52" spans="1:4">
      <c r="A52" s="555">
        <v>9</v>
      </c>
      <c r="B52" s="558" t="s">
        <v>510</v>
      </c>
      <c r="C52" s="557"/>
      <c r="D52" s="601"/>
    </row>
    <row r="53" spans="1:4">
      <c r="A53" s="555">
        <v>10</v>
      </c>
      <c r="B53" s="556" t="s">
        <v>413</v>
      </c>
      <c r="C53" s="557"/>
      <c r="D53" s="601"/>
    </row>
    <row r="54" spans="1:4">
      <c r="A54" s="555">
        <v>11</v>
      </c>
      <c r="B54" s="556" t="s">
        <v>401</v>
      </c>
      <c r="C54" s="557"/>
      <c r="D54" s="601"/>
    </row>
    <row r="55" spans="1:4">
      <c r="A55" s="555">
        <v>12</v>
      </c>
      <c r="B55" s="556" t="s">
        <v>511</v>
      </c>
      <c r="C55" s="557"/>
      <c r="D55" s="601"/>
    </row>
    <row r="56" spans="1:4">
      <c r="A56" s="555">
        <v>13</v>
      </c>
      <c r="B56" s="558" t="s">
        <v>528</v>
      </c>
      <c r="C56" s="557"/>
      <c r="D56" s="601"/>
    </row>
    <row r="57" spans="1:4" ht="15.75" thickBot="1">
      <c r="A57" s="559">
        <v>14</v>
      </c>
      <c r="B57" s="560" t="s">
        <v>522</v>
      </c>
      <c r="C57" s="561"/>
      <c r="D57" s="626"/>
    </row>
    <row r="58" spans="1:4" ht="16.5" thickTop="1" thickBot="1">
      <c r="A58" s="549"/>
      <c r="B58" s="550" t="s">
        <v>573</v>
      </c>
      <c r="C58" s="551"/>
      <c r="D58" s="624"/>
    </row>
    <row r="59" spans="1:4" ht="15.75" thickTop="1">
      <c r="A59" s="562">
        <v>1</v>
      </c>
      <c r="B59" s="563" t="s">
        <v>574</v>
      </c>
      <c r="C59" s="564" t="s">
        <v>575</v>
      </c>
      <c r="D59" s="627"/>
    </row>
    <row r="60" spans="1:4">
      <c r="A60" s="565">
        <v>2</v>
      </c>
      <c r="B60" s="556" t="s">
        <v>586</v>
      </c>
      <c r="C60" s="557"/>
      <c r="D60" s="603"/>
    </row>
    <row r="61" spans="1:4" s="35" customFormat="1">
      <c r="A61" s="566">
        <v>3</v>
      </c>
      <c r="B61" s="556" t="s">
        <v>513</v>
      </c>
      <c r="C61" s="557"/>
      <c r="D61" s="603">
        <v>0</v>
      </c>
    </row>
    <row r="62" spans="1:4">
      <c r="A62" s="566">
        <v>4</v>
      </c>
      <c r="B62" s="567" t="s">
        <v>558</v>
      </c>
      <c r="C62" s="568"/>
      <c r="D62" s="603"/>
    </row>
    <row r="63" spans="1:4">
      <c r="A63" s="566">
        <v>5</v>
      </c>
      <c r="B63" s="567" t="s">
        <v>559</v>
      </c>
      <c r="C63" s="557"/>
      <c r="D63" s="628"/>
    </row>
    <row r="64" spans="1:4">
      <c r="A64" s="566">
        <v>6</v>
      </c>
      <c r="B64" s="567" t="s">
        <v>569</v>
      </c>
      <c r="C64" s="568"/>
      <c r="D64" s="603"/>
    </row>
    <row r="65" spans="1:4">
      <c r="A65" s="566">
        <v>7</v>
      </c>
      <c r="B65" s="569" t="s">
        <v>563</v>
      </c>
      <c r="C65" s="570"/>
      <c r="D65" s="531">
        <f>'PRILOG 1-Analiza usluga-03-2020'!J47</f>
        <v>0</v>
      </c>
    </row>
    <row r="66" spans="1:4">
      <c r="A66" s="566">
        <v>8</v>
      </c>
      <c r="B66" s="569" t="s">
        <v>564</v>
      </c>
      <c r="C66" s="570"/>
      <c r="D66" s="531">
        <f>'PRILOG 1-Analiza usluga-03-2020'!K48</f>
        <v>0</v>
      </c>
    </row>
    <row r="67" spans="1:4">
      <c r="A67" s="566">
        <v>9</v>
      </c>
      <c r="B67" s="569" t="s">
        <v>565</v>
      </c>
      <c r="C67" s="570"/>
      <c r="D67" s="531">
        <f>'PRILOG 1-Analiza usluga-03-2020'!K49</f>
        <v>0</v>
      </c>
    </row>
    <row r="68" spans="1:4">
      <c r="A68" s="566">
        <v>10</v>
      </c>
      <c r="B68" s="569" t="s">
        <v>566</v>
      </c>
      <c r="C68" s="570"/>
      <c r="D68" s="531">
        <f>'PRILOG 1-Analiza usluga-03-2020'!L47</f>
        <v>0</v>
      </c>
    </row>
    <row r="69" spans="1:4">
      <c r="A69" s="566">
        <v>11</v>
      </c>
      <c r="B69" s="569" t="s">
        <v>567</v>
      </c>
      <c r="C69" s="570"/>
      <c r="D69" s="531">
        <f>'PRILOG 1-Analiza usluga-03-2020'!M47</f>
        <v>0</v>
      </c>
    </row>
    <row r="70" spans="1:4">
      <c r="A70" s="566">
        <v>12</v>
      </c>
      <c r="B70" s="569" t="s">
        <v>568</v>
      </c>
      <c r="C70" s="570"/>
      <c r="D70" s="531">
        <f>'PRILOG 1-Analiza usluga-03-2020'!N47</f>
        <v>0</v>
      </c>
    </row>
    <row r="71" spans="1:4">
      <c r="A71" s="566">
        <v>13</v>
      </c>
      <c r="B71" s="569" t="s">
        <v>612</v>
      </c>
      <c r="C71" s="570"/>
      <c r="D71" s="532">
        <f>'PRILOG 1-Analiza usluga-03-2020'!I42</f>
        <v>0</v>
      </c>
    </row>
    <row r="72" spans="1:4" ht="45">
      <c r="A72" s="566">
        <v>14</v>
      </c>
      <c r="B72" s="567" t="s">
        <v>560</v>
      </c>
      <c r="C72" s="568" t="s">
        <v>562</v>
      </c>
      <c r="D72" s="603" t="s">
        <v>614</v>
      </c>
    </row>
    <row r="73" spans="1:4" ht="30.75" thickBot="1">
      <c r="A73" s="571">
        <v>15</v>
      </c>
      <c r="B73" s="572" t="s">
        <v>569</v>
      </c>
      <c r="C73" s="573" t="s">
        <v>570</v>
      </c>
      <c r="D73" s="604" t="s">
        <v>614</v>
      </c>
    </row>
    <row r="74" spans="1:4" ht="15.75" thickTop="1">
      <c r="A74" s="574"/>
      <c r="B74" s="563" t="s">
        <v>576</v>
      </c>
      <c r="C74" s="564" t="s">
        <v>575</v>
      </c>
      <c r="D74" s="605" t="s">
        <v>577</v>
      </c>
    </row>
    <row r="75" spans="1:4">
      <c r="A75" s="575"/>
      <c r="B75" s="576" t="s">
        <v>532</v>
      </c>
      <c r="C75" s="577"/>
      <c r="D75" s="606"/>
    </row>
    <row r="76" spans="1:4">
      <c r="A76" s="575"/>
      <c r="B76" s="576" t="s">
        <v>531</v>
      </c>
      <c r="C76" s="578"/>
      <c r="D76" s="606"/>
    </row>
    <row r="77" spans="1:4">
      <c r="A77" s="575"/>
      <c r="B77" s="576" t="s">
        <v>541</v>
      </c>
      <c r="C77" s="578"/>
      <c r="D77" s="606"/>
    </row>
    <row r="78" spans="1:4">
      <c r="A78" s="575"/>
      <c r="B78" s="576" t="s">
        <v>634</v>
      </c>
      <c r="C78" s="578"/>
      <c r="D78" s="606"/>
    </row>
    <row r="79" spans="1:4">
      <c r="A79" s="575"/>
      <c r="B79" s="576" t="s">
        <v>507</v>
      </c>
      <c r="C79" s="578"/>
      <c r="D79" s="606"/>
    </row>
    <row r="80" spans="1:4">
      <c r="A80" s="575"/>
      <c r="B80" s="576" t="s">
        <v>506</v>
      </c>
      <c r="C80" s="578"/>
      <c r="D80" s="606"/>
    </row>
    <row r="81" spans="1:4">
      <c r="A81" s="575"/>
      <c r="B81" s="576" t="s">
        <v>526</v>
      </c>
      <c r="C81" s="578"/>
      <c r="D81" s="606"/>
    </row>
    <row r="82" spans="1:4">
      <c r="A82" s="575"/>
      <c r="B82" s="576" t="s">
        <v>549</v>
      </c>
      <c r="C82" s="578"/>
      <c r="D82" s="606">
        <v>0</v>
      </c>
    </row>
    <row r="83" spans="1:4">
      <c r="A83" s="579"/>
      <c r="B83" s="580" t="s">
        <v>627</v>
      </c>
      <c r="C83" s="578"/>
      <c r="D83" s="606"/>
    </row>
    <row r="84" spans="1:4">
      <c r="A84" s="579"/>
      <c r="B84" s="580" t="s">
        <v>533</v>
      </c>
      <c r="C84" s="578"/>
      <c r="D84" s="606"/>
    </row>
    <row r="85" spans="1:4">
      <c r="A85" s="579"/>
      <c r="B85" s="580" t="s">
        <v>542</v>
      </c>
      <c r="C85" s="578"/>
      <c r="D85" s="606"/>
    </row>
    <row r="86" spans="1:4">
      <c r="A86" s="579"/>
      <c r="B86" s="580" t="s">
        <v>632</v>
      </c>
      <c r="C86" s="578"/>
      <c r="D86" s="606"/>
    </row>
    <row r="87" spans="1:4">
      <c r="A87" s="579"/>
      <c r="B87" s="580" t="s">
        <v>507</v>
      </c>
      <c r="C87" s="578"/>
      <c r="D87" s="606"/>
    </row>
    <row r="88" spans="1:4">
      <c r="A88" s="579"/>
      <c r="B88" s="580" t="s">
        <v>506</v>
      </c>
      <c r="C88" s="578"/>
      <c r="D88" s="606"/>
    </row>
    <row r="89" spans="1:4">
      <c r="A89" s="579"/>
      <c r="B89" s="580" t="s">
        <v>527</v>
      </c>
      <c r="C89" s="578"/>
      <c r="D89" s="606"/>
    </row>
    <row r="90" spans="1:4">
      <c r="A90" s="579"/>
      <c r="B90" s="580" t="s">
        <v>549</v>
      </c>
      <c r="C90" s="578"/>
      <c r="D90" s="606"/>
    </row>
    <row r="91" spans="1:4">
      <c r="A91" s="581"/>
      <c r="B91" s="582" t="s">
        <v>499</v>
      </c>
      <c r="C91" s="583"/>
      <c r="D91" s="607"/>
    </row>
    <row r="92" spans="1:4">
      <c r="A92" s="581"/>
      <c r="B92" s="582" t="s">
        <v>534</v>
      </c>
      <c r="C92" s="583"/>
      <c r="D92" s="607"/>
    </row>
    <row r="93" spans="1:4">
      <c r="A93" s="581"/>
      <c r="B93" s="582" t="s">
        <v>543</v>
      </c>
      <c r="C93" s="583"/>
      <c r="D93" s="607"/>
    </row>
    <row r="94" spans="1:4">
      <c r="A94" s="581"/>
      <c r="B94" s="582" t="s">
        <v>631</v>
      </c>
      <c r="C94" s="583"/>
      <c r="D94" s="607"/>
    </row>
    <row r="95" spans="1:4">
      <c r="A95" s="581"/>
      <c r="B95" s="582" t="s">
        <v>507</v>
      </c>
      <c r="C95" s="583"/>
      <c r="D95" s="607"/>
    </row>
    <row r="96" spans="1:4">
      <c r="A96" s="581"/>
      <c r="B96" s="582" t="s">
        <v>506</v>
      </c>
      <c r="C96" s="583"/>
      <c r="D96" s="607"/>
    </row>
    <row r="97" spans="1:4">
      <c r="A97" s="581"/>
      <c r="B97" s="582" t="s">
        <v>527</v>
      </c>
      <c r="C97" s="583"/>
      <c r="D97" s="607"/>
    </row>
    <row r="98" spans="1:4">
      <c r="A98" s="581"/>
      <c r="B98" s="582" t="s">
        <v>549</v>
      </c>
      <c r="C98" s="583"/>
      <c r="D98" s="607"/>
    </row>
    <row r="99" spans="1:4">
      <c r="A99" s="575"/>
      <c r="B99" s="576" t="s">
        <v>500</v>
      </c>
      <c r="C99" s="584"/>
      <c r="D99" s="608"/>
    </row>
    <row r="100" spans="1:4">
      <c r="A100" s="575"/>
      <c r="B100" s="576" t="s">
        <v>535</v>
      </c>
      <c r="C100" s="584"/>
      <c r="D100" s="608"/>
    </row>
    <row r="101" spans="1:4">
      <c r="A101" s="575"/>
      <c r="B101" s="576" t="s">
        <v>547</v>
      </c>
      <c r="C101" s="584"/>
      <c r="D101" s="608"/>
    </row>
    <row r="102" spans="1:4">
      <c r="A102" s="575"/>
      <c r="B102" s="576" t="s">
        <v>630</v>
      </c>
      <c r="C102" s="584"/>
      <c r="D102" s="608"/>
    </row>
    <row r="103" spans="1:4">
      <c r="A103" s="575"/>
      <c r="B103" s="576" t="s">
        <v>507</v>
      </c>
      <c r="C103" s="584"/>
      <c r="D103" s="608"/>
    </row>
    <row r="104" spans="1:4">
      <c r="A104" s="575"/>
      <c r="B104" s="576" t="s">
        <v>506</v>
      </c>
      <c r="C104" s="584"/>
      <c r="D104" s="608"/>
    </row>
    <row r="105" spans="1:4">
      <c r="A105" s="575"/>
      <c r="B105" s="576" t="s">
        <v>527</v>
      </c>
      <c r="C105" s="584"/>
      <c r="D105" s="608"/>
    </row>
    <row r="106" spans="1:4">
      <c r="A106" s="575"/>
      <c r="B106" s="576" t="s">
        <v>549</v>
      </c>
      <c r="C106" s="584"/>
      <c r="D106" s="608"/>
    </row>
    <row r="107" spans="1:4">
      <c r="A107" s="579"/>
      <c r="B107" s="580" t="s">
        <v>501</v>
      </c>
      <c r="C107" s="578"/>
      <c r="D107" s="606"/>
    </row>
    <row r="108" spans="1:4">
      <c r="A108" s="579"/>
      <c r="B108" s="580" t="s">
        <v>536</v>
      </c>
      <c r="C108" s="578"/>
      <c r="D108" s="606"/>
    </row>
    <row r="109" spans="1:4">
      <c r="A109" s="579"/>
      <c r="B109" s="580" t="s">
        <v>548</v>
      </c>
      <c r="C109" s="578"/>
      <c r="D109" s="606"/>
    </row>
    <row r="110" spans="1:4">
      <c r="A110" s="579"/>
      <c r="B110" s="580" t="s">
        <v>629</v>
      </c>
      <c r="C110" s="578"/>
      <c r="D110" s="606"/>
    </row>
    <row r="111" spans="1:4">
      <c r="A111" s="579"/>
      <c r="B111" s="580" t="s">
        <v>507</v>
      </c>
      <c r="C111" s="578"/>
      <c r="D111" s="606"/>
    </row>
    <row r="112" spans="1:4">
      <c r="A112" s="579"/>
      <c r="B112" s="580" t="s">
        <v>506</v>
      </c>
      <c r="C112" s="578"/>
      <c r="D112" s="606"/>
    </row>
    <row r="113" spans="1:4">
      <c r="A113" s="579"/>
      <c r="B113" s="580" t="s">
        <v>527</v>
      </c>
      <c r="C113" s="578"/>
      <c r="D113" s="606"/>
    </row>
    <row r="114" spans="1:4">
      <c r="A114" s="579"/>
      <c r="B114" s="580" t="s">
        <v>549</v>
      </c>
      <c r="C114" s="578"/>
      <c r="D114" s="606"/>
    </row>
    <row r="115" spans="1:4">
      <c r="A115" s="581"/>
      <c r="B115" s="582" t="s">
        <v>502</v>
      </c>
      <c r="C115" s="583"/>
      <c r="D115" s="607"/>
    </row>
    <row r="116" spans="1:4">
      <c r="A116" s="581"/>
      <c r="B116" s="582" t="s">
        <v>537</v>
      </c>
      <c r="C116" s="583"/>
      <c r="D116" s="607"/>
    </row>
    <row r="117" spans="1:4">
      <c r="A117" s="581"/>
      <c r="B117" s="582" t="s">
        <v>546</v>
      </c>
      <c r="C117" s="583"/>
      <c r="D117" s="607"/>
    </row>
    <row r="118" spans="1:4">
      <c r="A118" s="581"/>
      <c r="B118" s="582" t="s">
        <v>628</v>
      </c>
      <c r="C118" s="583"/>
      <c r="D118" s="607"/>
    </row>
    <row r="119" spans="1:4">
      <c r="A119" s="581"/>
      <c r="B119" s="582" t="s">
        <v>507</v>
      </c>
      <c r="C119" s="583"/>
      <c r="D119" s="607"/>
    </row>
    <row r="120" spans="1:4">
      <c r="A120" s="581"/>
      <c r="B120" s="582" t="s">
        <v>506</v>
      </c>
      <c r="C120" s="583"/>
      <c r="D120" s="607"/>
    </row>
    <row r="121" spans="1:4">
      <c r="A121" s="581"/>
      <c r="B121" s="582" t="s">
        <v>527</v>
      </c>
      <c r="C121" s="583"/>
      <c r="D121" s="607"/>
    </row>
    <row r="122" spans="1:4">
      <c r="A122" s="581"/>
      <c r="B122" s="582" t="s">
        <v>549</v>
      </c>
      <c r="C122" s="583"/>
      <c r="D122" s="607"/>
    </row>
    <row r="123" spans="1:4">
      <c r="A123" s="575"/>
      <c r="B123" s="576" t="s">
        <v>503</v>
      </c>
      <c r="C123" s="584"/>
      <c r="D123" s="608"/>
    </row>
    <row r="124" spans="1:4">
      <c r="A124" s="575"/>
      <c r="B124" s="576" t="s">
        <v>538</v>
      </c>
      <c r="C124" s="584"/>
      <c r="D124" s="608"/>
    </row>
    <row r="125" spans="1:4">
      <c r="A125" s="575"/>
      <c r="B125" s="576" t="s">
        <v>545</v>
      </c>
      <c r="C125" s="584"/>
      <c r="D125" s="608"/>
    </row>
    <row r="126" spans="1:4">
      <c r="A126" s="575"/>
      <c r="B126" s="576" t="s">
        <v>504</v>
      </c>
      <c r="C126" s="584"/>
      <c r="D126" s="608"/>
    </row>
    <row r="127" spans="1:4">
      <c r="A127" s="575"/>
      <c r="B127" s="576" t="s">
        <v>507</v>
      </c>
      <c r="C127" s="584"/>
      <c r="D127" s="608"/>
    </row>
    <row r="128" spans="1:4">
      <c r="A128" s="575"/>
      <c r="B128" s="576" t="s">
        <v>506</v>
      </c>
      <c r="C128" s="584"/>
      <c r="D128" s="608"/>
    </row>
    <row r="129" spans="1:4">
      <c r="A129" s="575"/>
      <c r="B129" s="576" t="s">
        <v>527</v>
      </c>
      <c r="C129" s="584"/>
      <c r="D129" s="608"/>
    </row>
    <row r="130" spans="1:4">
      <c r="A130" s="575"/>
      <c r="B130" s="576" t="s">
        <v>549</v>
      </c>
      <c r="C130" s="584"/>
      <c r="D130" s="608"/>
    </row>
    <row r="131" spans="1:4">
      <c r="A131" s="579"/>
      <c r="B131" s="580" t="s">
        <v>505</v>
      </c>
      <c r="C131" s="583"/>
      <c r="D131" s="607"/>
    </row>
    <row r="132" spans="1:4">
      <c r="A132" s="579"/>
      <c r="B132" s="580" t="s">
        <v>539</v>
      </c>
      <c r="C132" s="583"/>
      <c r="D132" s="607"/>
    </row>
    <row r="133" spans="1:4">
      <c r="A133" s="579"/>
      <c r="B133" s="580" t="s">
        <v>544</v>
      </c>
      <c r="C133" s="583"/>
      <c r="D133" s="607"/>
    </row>
    <row r="134" spans="1:4">
      <c r="A134" s="579"/>
      <c r="B134" s="580" t="s">
        <v>540</v>
      </c>
      <c r="C134" s="583"/>
      <c r="D134" s="607"/>
    </row>
    <row r="135" spans="1:4">
      <c r="A135" s="579"/>
      <c r="B135" s="580" t="s">
        <v>507</v>
      </c>
      <c r="C135" s="583"/>
      <c r="D135" s="607"/>
    </row>
    <row r="136" spans="1:4">
      <c r="A136" s="579"/>
      <c r="B136" s="580" t="s">
        <v>506</v>
      </c>
      <c r="C136" s="583"/>
      <c r="D136" s="607"/>
    </row>
    <row r="137" spans="1:4">
      <c r="A137" s="579"/>
      <c r="B137" s="580" t="s">
        <v>526</v>
      </c>
      <c r="C137" s="583"/>
      <c r="D137" s="607"/>
    </row>
    <row r="138" spans="1:4">
      <c r="A138" s="579"/>
      <c r="B138" s="580" t="s">
        <v>549</v>
      </c>
      <c r="C138" s="583"/>
      <c r="D138" s="607"/>
    </row>
    <row r="139" spans="1:4">
      <c r="A139" s="555"/>
      <c r="B139" s="585" t="s">
        <v>595</v>
      </c>
      <c r="C139" s="586"/>
      <c r="D139" s="609"/>
    </row>
    <row r="140" spans="1:4">
      <c r="A140" s="555"/>
      <c r="B140" s="585" t="s">
        <v>592</v>
      </c>
      <c r="C140" s="586"/>
      <c r="D140" s="609"/>
    </row>
    <row r="141" spans="1:4">
      <c r="A141" s="555"/>
      <c r="B141" s="585" t="s">
        <v>593</v>
      </c>
      <c r="C141" s="586"/>
      <c r="D141" s="609"/>
    </row>
    <row r="142" spans="1:4">
      <c r="A142" s="555"/>
      <c r="B142" s="585" t="s">
        <v>604</v>
      </c>
      <c r="C142" s="586"/>
      <c r="D142" s="609"/>
    </row>
    <row r="143" spans="1:4">
      <c r="A143" s="555"/>
      <c r="B143" s="567" t="s">
        <v>563</v>
      </c>
      <c r="C143" s="567"/>
      <c r="D143" s="610"/>
    </row>
    <row r="144" spans="1:4">
      <c r="A144" s="555"/>
      <c r="B144" s="567" t="s">
        <v>564</v>
      </c>
      <c r="C144" s="567"/>
      <c r="D144" s="610"/>
    </row>
    <row r="145" spans="1:4">
      <c r="A145" s="555"/>
      <c r="B145" s="567" t="s">
        <v>565</v>
      </c>
      <c r="C145" s="567"/>
      <c r="D145" s="610"/>
    </row>
    <row r="146" spans="1:4">
      <c r="A146" s="555"/>
      <c r="B146" s="567" t="s">
        <v>566</v>
      </c>
      <c r="C146" s="567"/>
      <c r="D146" s="610"/>
    </row>
    <row r="147" spans="1:4">
      <c r="A147" s="555"/>
      <c r="B147" s="567" t="s">
        <v>567</v>
      </c>
      <c r="C147" s="567"/>
      <c r="D147" s="610"/>
    </row>
    <row r="148" spans="1:4">
      <c r="A148" s="555"/>
      <c r="B148" s="567" t="s">
        <v>568</v>
      </c>
      <c r="C148" s="567"/>
      <c r="D148" s="610"/>
    </row>
    <row r="149" spans="1:4" ht="15.75" thickBot="1">
      <c r="A149" s="559"/>
      <c r="B149" s="587" t="s">
        <v>561</v>
      </c>
      <c r="C149" s="587"/>
      <c r="D149" s="611"/>
    </row>
    <row r="150" spans="1:4" ht="15.75" thickTop="1">
      <c r="A150" s="588"/>
      <c r="B150" s="589" t="s">
        <v>594</v>
      </c>
      <c r="C150" s="590"/>
      <c r="D150" s="612"/>
    </row>
    <row r="151" spans="1:4">
      <c r="A151" s="591"/>
      <c r="B151" s="592" t="s">
        <v>597</v>
      </c>
      <c r="C151" s="593"/>
      <c r="D151" s="613"/>
    </row>
    <row r="152" spans="1:4">
      <c r="A152" s="591"/>
      <c r="B152" s="592" t="s">
        <v>598</v>
      </c>
      <c r="C152" s="593"/>
      <c r="D152" s="613"/>
    </row>
    <row r="153" spans="1:4">
      <c r="A153" s="591"/>
      <c r="B153" s="592" t="s">
        <v>605</v>
      </c>
      <c r="C153" s="593"/>
      <c r="D153" s="613"/>
    </row>
    <row r="154" spans="1:4">
      <c r="A154" s="591"/>
      <c r="B154" s="594" t="s">
        <v>563</v>
      </c>
      <c r="C154" s="594"/>
      <c r="D154" s="614"/>
    </row>
    <row r="155" spans="1:4">
      <c r="A155" s="591"/>
      <c r="B155" s="594" t="s">
        <v>564</v>
      </c>
      <c r="C155" s="594"/>
      <c r="D155" s="614"/>
    </row>
    <row r="156" spans="1:4">
      <c r="A156" s="591"/>
      <c r="B156" s="594" t="s">
        <v>565</v>
      </c>
      <c r="C156" s="594"/>
      <c r="D156" s="614"/>
    </row>
    <row r="157" spans="1:4">
      <c r="A157" s="591"/>
      <c r="B157" s="594" t="s">
        <v>566</v>
      </c>
      <c r="C157" s="594"/>
      <c r="D157" s="614"/>
    </row>
    <row r="158" spans="1:4">
      <c r="A158" s="591"/>
      <c r="B158" s="594" t="s">
        <v>567</v>
      </c>
      <c r="C158" s="594"/>
      <c r="D158" s="614"/>
    </row>
    <row r="159" spans="1:4">
      <c r="A159" s="591"/>
      <c r="B159" s="594" t="s">
        <v>568</v>
      </c>
      <c r="C159" s="594"/>
      <c r="D159" s="614"/>
    </row>
    <row r="160" spans="1:4">
      <c r="A160" s="591"/>
      <c r="B160" s="594" t="s">
        <v>561</v>
      </c>
      <c r="C160" s="594"/>
      <c r="D160" s="615"/>
    </row>
    <row r="161" spans="1:4">
      <c r="A161" s="591"/>
      <c r="B161" s="541" t="s">
        <v>596</v>
      </c>
      <c r="C161" s="540"/>
      <c r="D161" s="616"/>
    </row>
    <row r="162" spans="1:4">
      <c r="A162" s="591"/>
      <c r="B162" s="541" t="s">
        <v>599</v>
      </c>
      <c r="C162" s="540"/>
      <c r="D162" s="616"/>
    </row>
    <row r="163" spans="1:4">
      <c r="A163" s="591"/>
      <c r="B163" s="541" t="s">
        <v>600</v>
      </c>
      <c r="C163" s="540"/>
      <c r="D163" s="616"/>
    </row>
    <row r="164" spans="1:4">
      <c r="A164" s="591"/>
      <c r="B164" s="595" t="s">
        <v>606</v>
      </c>
      <c r="C164" s="596"/>
      <c r="D164" s="617"/>
    </row>
    <row r="165" spans="1:4">
      <c r="A165" s="591"/>
      <c r="B165" s="594" t="s">
        <v>563</v>
      </c>
      <c r="C165" s="594"/>
      <c r="D165" s="614"/>
    </row>
    <row r="166" spans="1:4">
      <c r="A166" s="591"/>
      <c r="B166" s="594" t="s">
        <v>564</v>
      </c>
      <c r="C166" s="594"/>
      <c r="D166" s="614"/>
    </row>
    <row r="167" spans="1:4">
      <c r="A167" s="591"/>
      <c r="B167" s="594" t="s">
        <v>565</v>
      </c>
      <c r="C167" s="594"/>
      <c r="D167" s="614"/>
    </row>
    <row r="168" spans="1:4">
      <c r="A168" s="591"/>
      <c r="B168" s="594" t="s">
        <v>566</v>
      </c>
      <c r="C168" s="594"/>
      <c r="D168" s="614"/>
    </row>
    <row r="169" spans="1:4">
      <c r="A169" s="591"/>
      <c r="B169" s="594" t="s">
        <v>567</v>
      </c>
      <c r="C169" s="594"/>
      <c r="D169" s="614"/>
    </row>
    <row r="170" spans="1:4">
      <c r="A170" s="591"/>
      <c r="B170" s="594" t="s">
        <v>568</v>
      </c>
      <c r="C170" s="594"/>
      <c r="D170" s="614"/>
    </row>
    <row r="171" spans="1:4">
      <c r="A171" s="591"/>
      <c r="B171" s="594" t="s">
        <v>561</v>
      </c>
      <c r="C171" s="594"/>
      <c r="D171" s="615"/>
    </row>
    <row r="172" spans="1:4">
      <c r="A172" s="591"/>
      <c r="B172" s="595" t="s">
        <v>601</v>
      </c>
      <c r="C172" s="596"/>
      <c r="D172" s="617"/>
    </row>
    <row r="173" spans="1:4">
      <c r="A173" s="591"/>
      <c r="B173" s="595" t="s">
        <v>602</v>
      </c>
      <c r="C173" s="596"/>
      <c r="D173" s="617"/>
    </row>
    <row r="174" spans="1:4">
      <c r="A174" s="591"/>
      <c r="B174" s="595" t="s">
        <v>603</v>
      </c>
      <c r="C174" s="596"/>
      <c r="D174" s="617"/>
    </row>
    <row r="175" spans="1:4">
      <c r="A175" s="591"/>
      <c r="B175" s="595" t="s">
        <v>607</v>
      </c>
      <c r="C175" s="596"/>
      <c r="D175" s="617"/>
    </row>
    <row r="176" spans="1:4">
      <c r="A176" s="591"/>
      <c r="B176" s="594" t="s">
        <v>563</v>
      </c>
      <c r="C176" s="594"/>
      <c r="D176" s="614"/>
    </row>
    <row r="177" spans="1:5">
      <c r="A177" s="591"/>
      <c r="B177" s="594" t="s">
        <v>564</v>
      </c>
      <c r="C177" s="594"/>
      <c r="D177" s="614"/>
    </row>
    <row r="178" spans="1:5">
      <c r="A178" s="591"/>
      <c r="B178" s="594" t="s">
        <v>565</v>
      </c>
      <c r="C178" s="594"/>
      <c r="D178" s="614"/>
    </row>
    <row r="179" spans="1:5">
      <c r="A179" s="591"/>
      <c r="B179" s="594" t="s">
        <v>566</v>
      </c>
      <c r="C179" s="594"/>
      <c r="D179" s="614"/>
    </row>
    <row r="180" spans="1:5">
      <c r="A180" s="591"/>
      <c r="B180" s="594" t="s">
        <v>567</v>
      </c>
      <c r="C180" s="594"/>
      <c r="D180" s="614"/>
    </row>
    <row r="181" spans="1:5">
      <c r="A181" s="591"/>
      <c r="B181" s="594" t="s">
        <v>568</v>
      </c>
      <c r="C181" s="594"/>
      <c r="D181" s="614"/>
    </row>
    <row r="182" spans="1:5" ht="34.5" customHeight="1" thickBot="1">
      <c r="A182" s="597"/>
      <c r="B182" s="598" t="s">
        <v>561</v>
      </c>
      <c r="C182" s="598"/>
      <c r="D182" s="618"/>
    </row>
    <row r="183" spans="1:5" ht="15.75" thickTop="1">
      <c r="A183" s="574"/>
      <c r="B183" s="563" t="s">
        <v>578</v>
      </c>
      <c r="C183" s="564"/>
      <c r="D183" s="605"/>
    </row>
    <row r="184" spans="1:5">
      <c r="A184" s="555"/>
      <c r="B184" s="556" t="s">
        <v>579</v>
      </c>
      <c r="C184" s="557"/>
      <c r="D184" s="600"/>
      <c r="E184" s="35">
        <f>+D184</f>
        <v>0</v>
      </c>
    </row>
    <row r="185" spans="1:5">
      <c r="A185" s="555"/>
      <c r="B185" s="556" t="s">
        <v>580</v>
      </c>
      <c r="C185" s="557"/>
      <c r="D185" s="600"/>
      <c r="E185" s="35">
        <f>+D185</f>
        <v>0</v>
      </c>
    </row>
    <row r="186" spans="1:5">
      <c r="A186" s="555"/>
      <c r="B186" s="556" t="s">
        <v>582</v>
      </c>
      <c r="C186" s="557"/>
      <c r="D186" s="600"/>
      <c r="E186" s="35">
        <f>+D186</f>
        <v>0</v>
      </c>
    </row>
    <row r="187" spans="1:5">
      <c r="A187" s="555"/>
      <c r="B187" s="556" t="s">
        <v>581</v>
      </c>
      <c r="C187" s="557"/>
      <c r="D187" s="533">
        <f>+E187</f>
        <v>-1095</v>
      </c>
      <c r="E187" s="35">
        <f>+IF(E186-E185&lt;1095,E184-1095,E186)</f>
        <v>-1095</v>
      </c>
    </row>
    <row r="188" spans="1:5">
      <c r="A188" s="555"/>
      <c r="B188" s="556" t="s">
        <v>583</v>
      </c>
      <c r="C188" s="534">
        <f>+D184</f>
        <v>0</v>
      </c>
      <c r="D188" s="601"/>
    </row>
    <row r="189" spans="1:5">
      <c r="A189" s="555"/>
      <c r="B189" s="567" t="s">
        <v>584</v>
      </c>
      <c r="C189" s="568"/>
      <c r="D189" s="599"/>
    </row>
    <row r="190" spans="1:5">
      <c r="A190" s="555"/>
      <c r="B190" s="567" t="s">
        <v>564</v>
      </c>
      <c r="C190" s="557"/>
      <c r="D190" s="599"/>
    </row>
    <row r="191" spans="1:5">
      <c r="A191" s="555"/>
      <c r="B191" s="567" t="s">
        <v>565</v>
      </c>
      <c r="C191" s="557"/>
      <c r="D191" s="599"/>
    </row>
    <row r="192" spans="1:5">
      <c r="A192" s="555"/>
      <c r="B192" s="567" t="s">
        <v>566</v>
      </c>
      <c r="C192" s="557"/>
      <c r="D192" s="599"/>
    </row>
    <row r="193" spans="1:4">
      <c r="A193" s="555"/>
      <c r="B193" s="556" t="s">
        <v>585</v>
      </c>
      <c r="C193" s="534">
        <f>+D187</f>
        <v>-1095</v>
      </c>
      <c r="D193" s="601"/>
    </row>
    <row r="194" spans="1:4">
      <c r="A194" s="555"/>
      <c r="B194" s="567" t="s">
        <v>584</v>
      </c>
      <c r="C194" s="557"/>
      <c r="D194" s="599"/>
    </row>
    <row r="195" spans="1:4">
      <c r="A195" s="555"/>
      <c r="B195" s="567" t="s">
        <v>564</v>
      </c>
      <c r="C195" s="557"/>
      <c r="D195" s="599"/>
    </row>
    <row r="196" spans="1:4">
      <c r="A196" s="555"/>
      <c r="B196" s="567" t="s">
        <v>565</v>
      </c>
      <c r="C196" s="557"/>
      <c r="D196" s="599"/>
    </row>
    <row r="197" spans="1:4" ht="15.75" thickBot="1">
      <c r="A197" s="559"/>
      <c r="B197" s="587" t="s">
        <v>566</v>
      </c>
      <c r="C197" s="561"/>
      <c r="D197" s="602"/>
    </row>
    <row r="198" spans="1:4" ht="15.75" thickTop="1"/>
  </sheetData>
  <sheetProtection algorithmName="SHA-512" hashValue="8Up5raSYM+1LayXsjjbuxfOoFq8RVTQPvV4PBT3Z/YTsupCaR1jUW2pvHP/EgUsWwlJKp6c4PABS07gQazyvbw==" saltValue="RwJx2epUTUQGNxDeBBTVpg==" spinCount="100000" sheet="1" formatCells="0" formatColumns="0" formatRows="0" insertColumns="0" insertRows="0" insertHyperlinks="0" deleteColumns="0" deleteRows="0" sort="0" autoFilter="0" pivotTables="0"/>
  <mergeCells count="1">
    <mergeCell ref="B1:D1"/>
  </mergeCells>
  <pageMargins left="0.7" right="0.7" top="0.75" bottom="0.75" header="0.3" footer="0.3"/>
  <pageSetup scale="71" fitToHeight="0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9CD33-8FDB-405F-A6AD-0B6724C276CF}">
  <sheetPr>
    <tabColor rgb="FF0070C0"/>
    <pageSetUpPr fitToPage="1"/>
  </sheetPr>
  <dimension ref="A1:Q51"/>
  <sheetViews>
    <sheetView topLeftCell="B27" zoomScale="208" zoomScaleNormal="208" zoomScaleSheetLayoutView="150" workbookViewId="0">
      <selection activeCell="C43" sqref="C43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278</v>
      </c>
      <c r="C5" s="870" t="s"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416"/>
      <c r="C12" s="154" t="s">
        <v>410</v>
      </c>
      <c r="D12" s="225">
        <f>+'TABELA ULAZNIH PODATAKA'!D20</f>
        <v>0</v>
      </c>
      <c r="E12" s="225">
        <f>+'TABELA ULAZNIH PODATAKA'!D43</f>
        <v>0</v>
      </c>
      <c r="F12" s="225" t="e">
        <f>+D12/E12*8</f>
        <v>#DIV/0!</v>
      </c>
      <c r="G12" s="225">
        <f>+'TABELA ULAZNIH PODATAKA'!D134</f>
        <v>0</v>
      </c>
      <c r="H12" s="226" t="e">
        <f>+F12*G12</f>
        <v>#DIV/0!</v>
      </c>
      <c r="I12" s="40" t="e">
        <f>+H12</f>
        <v>#DIV/0!</v>
      </c>
      <c r="J12" s="40"/>
      <c r="K12" s="40"/>
      <c r="L12" s="8"/>
      <c r="M12" s="8"/>
    </row>
    <row r="13" spans="2:13" ht="18" customHeight="1" thickBot="1">
      <c r="B13" s="335"/>
      <c r="C13" s="264" t="s">
        <v>395</v>
      </c>
      <c r="D13" s="312"/>
      <c r="E13" s="417">
        <f>+('TABELA ULAZNIH PODATAKA'!D44+'TABELA ULAZNIH PODATAKA'!D45)/(365-104-('TABELA ULAZNIH PODATAKA'!D44+'TABELA ULAZNIH PODATAKA'!D45))</f>
        <v>0</v>
      </c>
      <c r="F13" s="312" t="e">
        <f>+F12*E13</f>
        <v>#DIV/0!</v>
      </c>
      <c r="G13" s="312">
        <f>+G12</f>
        <v>0</v>
      </c>
      <c r="H13" s="336" t="e">
        <f>+F13*G13*E13</f>
        <v>#DIV/0!</v>
      </c>
      <c r="I13" s="337" t="e">
        <f>+H13</f>
        <v>#DIV/0!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9"/>
      <c r="C15" s="154" t="s">
        <v>396</v>
      </c>
      <c r="D15" s="213"/>
      <c r="E15" s="213">
        <f>+'TABELA ULAZNIH PODATAKA'!D135/40</f>
        <v>0</v>
      </c>
      <c r="F15" s="213" t="e">
        <f>+H12</f>
        <v>#DIV/0!</v>
      </c>
      <c r="G15" s="213">
        <f>+'TABELA ULAZNIH PODATAKA'!D78</f>
        <v>0</v>
      </c>
      <c r="H15" s="214" t="e">
        <f>+E15*F15*G15</f>
        <v>#DIV/0!</v>
      </c>
      <c r="I15" s="40" t="e">
        <f>+H15</f>
        <v>#DIV/0!</v>
      </c>
      <c r="J15" s="40"/>
      <c r="K15" s="40"/>
      <c r="L15" s="8"/>
      <c r="M15" s="39"/>
    </row>
    <row r="16" spans="2:13">
      <c r="B16" s="338"/>
      <c r="C16" s="264" t="s">
        <v>368</v>
      </c>
      <c r="D16" s="329"/>
      <c r="E16" s="329"/>
      <c r="F16" s="329"/>
      <c r="G16" s="312"/>
      <c r="H16" s="336"/>
      <c r="I16" s="331"/>
      <c r="J16" s="331"/>
      <c r="K16" s="331"/>
      <c r="L16" s="8"/>
      <c r="M16" s="8"/>
    </row>
    <row r="17" spans="2:13">
      <c r="B17" s="9"/>
      <c r="C17" s="157" t="s">
        <v>397</v>
      </c>
      <c r="D17" s="215">
        <f>+'TABELA ULAZNIH PODATAKA'!D51</f>
        <v>0</v>
      </c>
      <c r="E17" s="215">
        <f>+'TABELA ULAZNIH PODATAKA'!D47</f>
        <v>0</v>
      </c>
      <c r="F17" s="215" t="e">
        <f>+D17/E17</f>
        <v>#DIV/0!</v>
      </c>
      <c r="G17" s="213">
        <v>1</v>
      </c>
      <c r="H17" s="214" t="e">
        <f>+F17</f>
        <v>#DIV/0!</v>
      </c>
      <c r="I17" s="43" t="e">
        <f>+H17</f>
        <v>#DIV/0!</v>
      </c>
      <c r="J17" s="43"/>
      <c r="K17" s="43"/>
      <c r="L17" s="8"/>
      <c r="M17" s="8"/>
    </row>
    <row r="18" spans="2:13">
      <c r="B18" s="339"/>
      <c r="C18" s="340" t="s">
        <v>400</v>
      </c>
      <c r="D18" s="329">
        <f>+IF('TABELA ULAZNIH PODATAKA'!D137&gt;0,'TABELA ULAZNIH PODATAKA'!D137,'TABELA ULAZNIH PODATAKA'!D52)</f>
        <v>0</v>
      </c>
      <c r="E18" s="329">
        <f>+ROUND(E17/12,0)</f>
        <v>0</v>
      </c>
      <c r="F18" s="329" t="e">
        <f t="shared" ref="F18:F20" si="0">+D18/E18</f>
        <v>#DIV/0!</v>
      </c>
      <c r="G18" s="312">
        <v>1</v>
      </c>
      <c r="H18" s="336" t="e">
        <f t="shared" ref="H18:H20" si="1">+F18</f>
        <v>#DIV/0!</v>
      </c>
      <c r="I18" s="331" t="e">
        <f t="shared" ref="I18:I20" si="2">+H18</f>
        <v>#DIV/0!</v>
      </c>
      <c r="J18" s="331"/>
      <c r="K18" s="331"/>
      <c r="L18" s="8"/>
      <c r="M18" s="8"/>
    </row>
    <row r="19" spans="2:13">
      <c r="B19" s="9"/>
      <c r="C19" s="157" t="s">
        <v>413</v>
      </c>
      <c r="D19" s="215">
        <f>+'TABELA ULAZNIH PODATAKA'!D53</f>
        <v>0</v>
      </c>
      <c r="E19" s="215">
        <f>+E17</f>
        <v>0</v>
      </c>
      <c r="F19" s="215" t="e">
        <f t="shared" si="0"/>
        <v>#DIV/0!</v>
      </c>
      <c r="G19" s="213">
        <v>1</v>
      </c>
      <c r="H19" s="214" t="e">
        <f t="shared" si="1"/>
        <v>#DIV/0!</v>
      </c>
      <c r="I19" s="43" t="e">
        <f t="shared" si="2"/>
        <v>#DIV/0!</v>
      </c>
      <c r="J19" s="43"/>
      <c r="K19" s="43"/>
      <c r="L19" s="8"/>
      <c r="M19" s="8"/>
    </row>
    <row r="20" spans="2:13">
      <c r="B20" s="339"/>
      <c r="C20" s="340" t="s">
        <v>401</v>
      </c>
      <c r="D20" s="329">
        <f>+'TABELA ULAZNIH PODATAKA'!D54</f>
        <v>0</v>
      </c>
      <c r="E20" s="329">
        <f>+E19</f>
        <v>0</v>
      </c>
      <c r="F20" s="329" t="e">
        <f t="shared" si="0"/>
        <v>#DIV/0!</v>
      </c>
      <c r="G20" s="312">
        <v>1</v>
      </c>
      <c r="H20" s="336" t="e">
        <f t="shared" si="1"/>
        <v>#DIV/0!</v>
      </c>
      <c r="I20" s="331" t="e">
        <f t="shared" si="2"/>
        <v>#DIV/0!</v>
      </c>
      <c r="J20" s="331"/>
      <c r="K20" s="331"/>
      <c r="L20" s="8"/>
      <c r="M20" s="8"/>
    </row>
    <row r="21" spans="2:13">
      <c r="B21" s="9"/>
      <c r="C21" s="154"/>
      <c r="D21" s="215"/>
      <c r="E21" s="215"/>
      <c r="F21" s="215"/>
      <c r="G21" s="215"/>
      <c r="H21" s="214"/>
      <c r="I21" s="43"/>
      <c r="J21" s="43"/>
      <c r="K21" s="43"/>
      <c r="L21" s="8"/>
      <c r="M21" s="8"/>
    </row>
    <row r="22" spans="2:13" ht="15.75" thickBot="1">
      <c r="B22" s="339"/>
      <c r="C22" s="264" t="s">
        <v>402</v>
      </c>
      <c r="D22" s="341">
        <f>+'TABELA ULAZNIH PODATAKA'!D55</f>
        <v>0</v>
      </c>
      <c r="E22" s="341">
        <v>1</v>
      </c>
      <c r="F22" s="341">
        <f>+IF(D31&gt;0,1,0)</f>
        <v>0</v>
      </c>
      <c r="G22" s="312"/>
      <c r="H22" s="342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9"/>
      <c r="C24" s="159" t="s">
        <v>414</v>
      </c>
      <c r="D24" s="227">
        <f>+'TABELA ULAZNIH PODATAKA'!D27*'TABELA ULAZNIH PODATAKA'!D61</f>
        <v>0</v>
      </c>
      <c r="E24" s="227">
        <f>+'PRILOG 1-Analiza usluga-03-2020'!G42</f>
        <v>0</v>
      </c>
      <c r="F24" s="227"/>
      <c r="G24" s="228"/>
      <c r="H24" s="229" t="e">
        <f>+D24/E24</f>
        <v>#DIV/0!</v>
      </c>
      <c r="I24" s="43"/>
      <c r="J24" s="43"/>
      <c r="K24" s="43" t="e">
        <f>+H24</f>
        <v>#DIV/0!</v>
      </c>
      <c r="L24" s="8"/>
      <c r="M24" s="8"/>
    </row>
    <row r="25" spans="2:13">
      <c r="B25" s="339"/>
      <c r="C25" s="264" t="s">
        <v>302</v>
      </c>
      <c r="D25" s="329">
        <f>+'TABELA ULAZNIH PODATAKA'!D28</f>
        <v>0</v>
      </c>
      <c r="E25" s="329">
        <f>+'PRILOG 1-Analiza usluga-03-2020'!G42</f>
        <v>0</v>
      </c>
      <c r="F25" s="329"/>
      <c r="G25" s="312"/>
      <c r="H25" s="336" t="e">
        <f t="shared" ref="H25:H26" si="3">+D25/E25</f>
        <v>#DIV/0!</v>
      </c>
      <c r="I25" s="331"/>
      <c r="J25" s="331"/>
      <c r="K25" s="331" t="e">
        <f t="shared" ref="K25:K26" si="4">+H25</f>
        <v>#DIV/0!</v>
      </c>
      <c r="L25" s="8"/>
      <c r="M25" s="8"/>
    </row>
    <row r="26" spans="2:13">
      <c r="B26" s="9"/>
      <c r="C26" s="154" t="s">
        <v>303</v>
      </c>
      <c r="D26" s="216">
        <f>+'TABELA ULAZNIH PODATAKA'!D29</f>
        <v>0</v>
      </c>
      <c r="E26" s="215">
        <f>+'PRILOG 1-Analiza usluga-03-2020'!G42</f>
        <v>0</v>
      </c>
      <c r="F26" s="215"/>
      <c r="G26" s="213"/>
      <c r="H26" s="217" t="e">
        <f t="shared" si="3"/>
        <v>#DIV/0!</v>
      </c>
      <c r="I26" s="43"/>
      <c r="J26" s="43"/>
      <c r="K26" s="43" t="e">
        <f t="shared" si="4"/>
        <v>#DIV/0!</v>
      </c>
      <c r="L26" s="8"/>
      <c r="M26" s="8"/>
    </row>
    <row r="27" spans="2:13" ht="15.75" thickBot="1">
      <c r="B27" s="9"/>
      <c r="C27" s="154"/>
      <c r="D27" s="230"/>
      <c r="E27" s="231"/>
      <c r="F27" s="231"/>
      <c r="G27" s="231"/>
      <c r="H27" s="232"/>
      <c r="I27" s="43"/>
      <c r="J27" s="43"/>
      <c r="K27" s="43"/>
      <c r="L27" s="8"/>
      <c r="M27" s="8"/>
    </row>
    <row r="28" spans="2:13" ht="15.75" thickBot="1">
      <c r="B28" s="324" t="s">
        <v>6</v>
      </c>
      <c r="C28" s="321" t="s">
        <v>351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46" t="s">
        <v>416</v>
      </c>
      <c r="C31" s="185" t="s">
        <v>33</v>
      </c>
      <c r="D31" s="919">
        <f>+'TABELA ULAZNIH PODATAKA'!D136</f>
        <v>0</v>
      </c>
      <c r="E31" s="903"/>
      <c r="F31" s="224">
        <f>+IF('TABELA ULAZNIH PODATAKA'!D138&gt;0,'TABELA ULAZNIH PODATAKA'!D138,'Podanaliza-auto-11-20'!G30)</f>
        <v>0</v>
      </c>
      <c r="G31" s="919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250"/>
      <c r="C32" s="249" t="s">
        <v>306</v>
      </c>
      <c r="D32" s="251"/>
      <c r="E32" s="252"/>
      <c r="F32" s="252"/>
      <c r="G32" s="252"/>
      <c r="H32" s="253"/>
      <c r="I32" s="254" t="e">
        <f>SUM(I12:I31)</f>
        <v>#DIV/0!</v>
      </c>
      <c r="J32" s="254">
        <f>SUM(J12:J31)</f>
        <v>0</v>
      </c>
      <c r="K32" s="254" t="e">
        <f>SUM(K12:K31)</f>
        <v>#DIV/0!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23"/>
      <c r="C36" s="22" t="s">
        <v>50</v>
      </c>
      <c r="D36" s="218">
        <f>+'TABELA ULAZNIH PODATAKA'!D31</f>
        <v>0</v>
      </c>
      <c r="E36" s="219"/>
      <c r="F36" s="220">
        <f>+'TABELA ULAZNIH PODATAKA'!D47</f>
        <v>0</v>
      </c>
      <c r="G36" s="219">
        <f>+'TABELA ULAZNIH PODATAKA'!D57</f>
        <v>0</v>
      </c>
      <c r="H36" s="419" t="e">
        <f>+D36/F36/G36</f>
        <v>#DIV/0!</v>
      </c>
      <c r="I36" s="43"/>
      <c r="J36" s="43"/>
      <c r="K36" s="43" t="e">
        <f>+H36</f>
        <v>#DIV/0!</v>
      </c>
      <c r="L36" s="59"/>
      <c r="M36" s="62"/>
      <c r="N36" s="45"/>
      <c r="O36" s="128"/>
      <c r="P36" s="45"/>
      <c r="Q36" s="119"/>
    </row>
    <row r="37" spans="2:17">
      <c r="B37" s="326"/>
      <c r="C37" s="327" t="s">
        <v>37</v>
      </c>
      <c r="D37" s="328">
        <f>+'TABELA ULAZNIH PODATAKA'!D32</f>
        <v>0</v>
      </c>
      <c r="E37" s="328"/>
      <c r="F37" s="329">
        <v>224</v>
      </c>
      <c r="G37" s="330">
        <v>20</v>
      </c>
      <c r="H37" s="420">
        <f t="shared" ref="H37:H43" si="5">+D37/F37/G37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15"/>
      <c r="C38" s="166" t="s">
        <v>38</v>
      </c>
      <c r="D38" s="222">
        <f>+'TABELA ULAZNIH PODATAKA'!D33-'TABELA ULAZNIH PODATAKA'!D15-'TABELA ULAZNIH PODATAKA'!D16</f>
        <v>0</v>
      </c>
      <c r="E38" s="222"/>
      <c r="F38" s="215">
        <v>224</v>
      </c>
      <c r="G38" s="221">
        <v>20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326"/>
      <c r="C39" s="327" t="s">
        <v>39</v>
      </c>
      <c r="D39" s="332">
        <f>+'TABELA ULAZNIH PODATAKA'!D34</f>
        <v>0</v>
      </c>
      <c r="E39" s="332"/>
      <c r="F39" s="329">
        <v>224</v>
      </c>
      <c r="G39" s="330">
        <v>20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23"/>
      <c r="C40" s="159" t="s">
        <v>40</v>
      </c>
      <c r="D40" s="222">
        <f>+'TABELA ULAZNIH PODATAKA'!D35</f>
        <v>0</v>
      </c>
      <c r="E40" s="222"/>
      <c r="F40" s="215">
        <v>224</v>
      </c>
      <c r="G40" s="221">
        <v>20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333"/>
      <c r="C41" s="334" t="s">
        <v>435</v>
      </c>
      <c r="D41" s="332" t="e">
        <f>+'TABELA ULAZNIH PODATAKA'!D36-(D26/'TABELA ULAZNIH PODATAKA'!D61*12)</f>
        <v>#DIV/0!</v>
      </c>
      <c r="E41" s="332"/>
      <c r="F41" s="329">
        <v>224</v>
      </c>
      <c r="G41" s="330">
        <v>20</v>
      </c>
      <c r="H41" s="420" t="e">
        <f t="shared" si="5"/>
        <v>#DIV/0!</v>
      </c>
      <c r="I41" s="331"/>
      <c r="J41" s="331"/>
      <c r="K41" s="331" t="e">
        <f t="shared" si="6"/>
        <v>#DIV/0!</v>
      </c>
      <c r="L41" s="60"/>
      <c r="M41" s="62"/>
      <c r="N41" s="62"/>
      <c r="O41" s="128"/>
      <c r="P41" s="45"/>
      <c r="Q41" s="118"/>
    </row>
    <row r="42" spans="2:17">
      <c r="B42" s="15"/>
      <c r="C42" s="159" t="s">
        <v>405</v>
      </c>
      <c r="D42" s="222" t="e">
        <f>+F12*F36</f>
        <v>#DIV/0!</v>
      </c>
      <c r="E42" s="221">
        <f>+'TABELA ULAZNIH PODATAKA'!D39</f>
        <v>0</v>
      </c>
      <c r="F42" s="215">
        <v>224</v>
      </c>
      <c r="G42" s="222">
        <v>20</v>
      </c>
      <c r="H42" s="421" t="e">
        <f t="shared" si="5"/>
        <v>#DIV/0!</v>
      </c>
      <c r="I42" s="43" t="e">
        <f>+H42</f>
        <v>#DIV/0!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333"/>
      <c r="C43" s="327" t="s">
        <v>404</v>
      </c>
      <c r="D43" s="332">
        <f>+'TABELA ULAZNIH PODATAKA'!D40*F31</f>
        <v>0</v>
      </c>
      <c r="E43" s="330"/>
      <c r="F43" s="329">
        <v>224</v>
      </c>
      <c r="G43" s="332">
        <v>20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15"/>
      <c r="C44" s="159"/>
      <c r="D44" s="223"/>
      <c r="E44" s="221"/>
      <c r="F44" s="215"/>
      <c r="G44" s="918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 t="e">
        <f>SUM(I36:I44)</f>
        <v>#DIV/0!</v>
      </c>
      <c r="J45" s="256">
        <f>SUM(J36:J44)</f>
        <v>0</v>
      </c>
      <c r="K45" s="256" t="e">
        <f>SUM(K36:K44)</f>
        <v>#DIV/0!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 t="e">
        <f>+I32+J32+K32</f>
        <v>#DIV/0!</v>
      </c>
      <c r="K46" s="258" t="e">
        <f>+J46/J49</f>
        <v>#DIV/0!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 t="e">
        <f>+I45+J45+K45</f>
        <v>#DIV/0!</v>
      </c>
      <c r="K47" s="258" t="e">
        <f>+J47/J49</f>
        <v>#DIV/0!</v>
      </c>
    </row>
    <row r="48" spans="2:17" ht="15.75" thickBot="1">
      <c r="B48" s="255" t="s">
        <v>448</v>
      </c>
      <c r="C48" s="423">
        <f>+'TABELA ULAZNIH PODATAKA'!D42/100</f>
        <v>0</v>
      </c>
      <c r="D48" s="260"/>
      <c r="E48" s="261"/>
      <c r="F48" s="262"/>
      <c r="G48" s="261"/>
      <c r="H48" s="263"/>
      <c r="I48" s="257"/>
      <c r="J48" s="402" t="e">
        <f>+(J47+J46)*C48</f>
        <v>#DIV/0!</v>
      </c>
      <c r="K48" s="258" t="e">
        <f>+J48/J49</f>
        <v>#DIV/0!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 t="e">
        <f>+J46+J47+J48</f>
        <v>#DIV/0!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mergeCells count="31">
    <mergeCell ref="C7:J7"/>
    <mergeCell ref="J1:K1"/>
    <mergeCell ref="J2:K2"/>
    <mergeCell ref="B3:K3"/>
    <mergeCell ref="C5:I5"/>
    <mergeCell ref="C6:J6"/>
    <mergeCell ref="D31:E31"/>
    <mergeCell ref="G31:H31"/>
    <mergeCell ref="I8:K8"/>
    <mergeCell ref="B9:C10"/>
    <mergeCell ref="D9:D10"/>
    <mergeCell ref="E9:E10"/>
    <mergeCell ref="F9:F10"/>
    <mergeCell ref="G9:G10"/>
    <mergeCell ref="H9:H10"/>
    <mergeCell ref="I9:K9"/>
    <mergeCell ref="C11:K11"/>
    <mergeCell ref="B29:C30"/>
    <mergeCell ref="D29:E30"/>
    <mergeCell ref="F29:F30"/>
    <mergeCell ref="G29:H30"/>
    <mergeCell ref="G44:H44"/>
    <mergeCell ref="B45:H45"/>
    <mergeCell ref="B46:H46"/>
    <mergeCell ref="B49:H49"/>
    <mergeCell ref="C33:K33"/>
    <mergeCell ref="B34:C35"/>
    <mergeCell ref="D34:D35"/>
    <mergeCell ref="E34:F35"/>
    <mergeCell ref="G34:G35"/>
    <mergeCell ref="H34:H35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60508-655F-43DD-A67E-ADE60A01550A}">
  <sheetPr>
    <tabColor rgb="FF0070C0"/>
    <pageSetUpPr fitToPage="1"/>
  </sheetPr>
  <dimension ref="A1:Q51"/>
  <sheetViews>
    <sheetView topLeftCell="B1" zoomScale="112" zoomScaleNormal="112" zoomScaleSheetLayoutView="150" workbookViewId="0">
      <selection activeCell="B15" sqref="B15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626</v>
      </c>
      <c r="C5" s="870">
        <f>+'TABELA ULAZNIH PODATAKA'!C115</f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629"/>
      <c r="C12" s="630" t="s">
        <v>410</v>
      </c>
      <c r="D12" s="631">
        <f>+'TABELA ULAZNIH PODATAKA'!D20</f>
        <v>0</v>
      </c>
      <c r="E12" s="631">
        <f>+'TABELA ULAZNIH PODATAKA'!D43</f>
        <v>0</v>
      </c>
      <c r="F12" s="631">
        <f>+IF(E12=0,0,D12/E12*8)</f>
        <v>0</v>
      </c>
      <c r="G12" s="631">
        <f>+'TABELA ULAZNIH PODATAKA'!D126</f>
        <v>0</v>
      </c>
      <c r="H12" s="632">
        <f>+F12*G12</f>
        <v>0</v>
      </c>
      <c r="I12" s="40">
        <f>+H12</f>
        <v>0</v>
      </c>
      <c r="J12" s="40"/>
      <c r="K12" s="40"/>
      <c r="L12" s="8"/>
      <c r="M12" s="8"/>
    </row>
    <row r="13" spans="2:13" ht="18" customHeight="1" thickBot="1">
      <c r="B13" s="633"/>
      <c r="C13" s="634" t="s">
        <v>395</v>
      </c>
      <c r="D13" s="635"/>
      <c r="E13" s="636">
        <f>+('TABELA ULAZNIH PODATAKA'!D44+'TABELA ULAZNIH PODATAKA'!D45)/(365-104-('TABELA ULAZNIH PODATAKA'!D44+'TABELA ULAZNIH PODATAKA'!D45))</f>
        <v>0</v>
      </c>
      <c r="F13" s="635">
        <f>+F12*E13</f>
        <v>0</v>
      </c>
      <c r="G13" s="635">
        <f>+G12</f>
        <v>0</v>
      </c>
      <c r="H13" s="637">
        <f>+F13*G13*E13</f>
        <v>0</v>
      </c>
      <c r="I13" s="337">
        <f>+H13</f>
        <v>0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638"/>
      <c r="C15" s="630" t="s">
        <v>396</v>
      </c>
      <c r="D15" s="639"/>
      <c r="E15" s="639">
        <f>+'TABELA ULAZNIH PODATAKA'!D127/40</f>
        <v>0</v>
      </c>
      <c r="F15" s="639">
        <f>+H12</f>
        <v>0</v>
      </c>
      <c r="G15" s="639">
        <v>1</v>
      </c>
      <c r="H15" s="640">
        <f>+E15*F15*G15</f>
        <v>0</v>
      </c>
      <c r="I15" s="40">
        <f>+H15</f>
        <v>0</v>
      </c>
      <c r="J15" s="40"/>
      <c r="K15" s="40"/>
      <c r="L15" s="8"/>
      <c r="M15" s="39"/>
    </row>
    <row r="16" spans="2:13">
      <c r="B16" s="641"/>
      <c r="C16" s="634" t="s">
        <v>368</v>
      </c>
      <c r="D16" s="642"/>
      <c r="E16" s="642"/>
      <c r="F16" s="642"/>
      <c r="G16" s="635"/>
      <c r="H16" s="637"/>
      <c r="I16" s="331"/>
      <c r="J16" s="331"/>
      <c r="K16" s="331"/>
      <c r="L16" s="8"/>
      <c r="M16" s="8"/>
    </row>
    <row r="17" spans="2:13">
      <c r="B17" s="638"/>
      <c r="C17" s="643" t="s">
        <v>397</v>
      </c>
      <c r="D17" s="644">
        <f>+'TABELA ULAZNIH PODATAKA'!D51</f>
        <v>0</v>
      </c>
      <c r="E17" s="644">
        <f>+'TABELA ULAZNIH PODATAKA'!D47</f>
        <v>0</v>
      </c>
      <c r="F17" s="644">
        <f>+IF(E17=0,0,D17/E17)</f>
        <v>0</v>
      </c>
      <c r="G17" s="639">
        <v>1</v>
      </c>
      <c r="H17" s="640">
        <f>+F17</f>
        <v>0</v>
      </c>
      <c r="I17" s="43">
        <f>+H17</f>
        <v>0</v>
      </c>
      <c r="J17" s="43"/>
      <c r="K17" s="43"/>
      <c r="L17" s="8"/>
      <c r="M17" s="8"/>
    </row>
    <row r="18" spans="2:13">
      <c r="B18" s="645"/>
      <c r="C18" s="646" t="s">
        <v>400</v>
      </c>
      <c r="D18" s="642">
        <f>+IF('TABELA ULAZNIH PODATAKA'!D129&gt;0,'TABELA ULAZNIH PODATAKA'!D129,'TABELA ULAZNIH PODATAKA'!D52)</f>
        <v>0</v>
      </c>
      <c r="E18" s="642">
        <f>+ROUND(E17/12,0)</f>
        <v>0</v>
      </c>
      <c r="F18" s="642">
        <f t="shared" ref="F18:F20" si="0">+IF(E18=0,0,D18/E18)</f>
        <v>0</v>
      </c>
      <c r="G18" s="635">
        <v>1</v>
      </c>
      <c r="H18" s="637">
        <f t="shared" ref="H18:H20" si="1">+F18</f>
        <v>0</v>
      </c>
      <c r="I18" s="331">
        <f t="shared" ref="I18:I20" si="2">+H18</f>
        <v>0</v>
      </c>
      <c r="J18" s="331"/>
      <c r="K18" s="331"/>
      <c r="L18" s="8"/>
      <c r="M18" s="8"/>
    </row>
    <row r="19" spans="2:13">
      <c r="B19" s="638"/>
      <c r="C19" s="643" t="s">
        <v>413</v>
      </c>
      <c r="D19" s="644">
        <f>+'TABELA ULAZNIH PODATAKA'!D53</f>
        <v>0</v>
      </c>
      <c r="E19" s="644">
        <f>+E17</f>
        <v>0</v>
      </c>
      <c r="F19" s="644">
        <f t="shared" si="0"/>
        <v>0</v>
      </c>
      <c r="G19" s="639">
        <v>1</v>
      </c>
      <c r="H19" s="640">
        <f t="shared" si="1"/>
        <v>0</v>
      </c>
      <c r="I19" s="43">
        <f t="shared" si="2"/>
        <v>0</v>
      </c>
      <c r="J19" s="43"/>
      <c r="K19" s="43"/>
      <c r="L19" s="8"/>
      <c r="M19" s="8"/>
    </row>
    <row r="20" spans="2:13">
      <c r="B20" s="645"/>
      <c r="C20" s="646" t="s">
        <v>401</v>
      </c>
      <c r="D20" s="642">
        <f>+'TABELA ULAZNIH PODATAKA'!D54</f>
        <v>0</v>
      </c>
      <c r="E20" s="642">
        <f>+E19</f>
        <v>0</v>
      </c>
      <c r="F20" s="642">
        <f t="shared" si="0"/>
        <v>0</v>
      </c>
      <c r="G20" s="635">
        <v>1</v>
      </c>
      <c r="H20" s="637">
        <f t="shared" si="1"/>
        <v>0</v>
      </c>
      <c r="I20" s="331">
        <f t="shared" si="2"/>
        <v>0</v>
      </c>
      <c r="J20" s="331"/>
      <c r="K20" s="331"/>
      <c r="L20" s="8"/>
      <c r="M20" s="8"/>
    </row>
    <row r="21" spans="2:13">
      <c r="B21" s="638"/>
      <c r="C21" s="630"/>
      <c r="D21" s="644"/>
      <c r="E21" s="644"/>
      <c r="F21" s="644"/>
      <c r="G21" s="644"/>
      <c r="H21" s="640"/>
      <c r="I21" s="43"/>
      <c r="J21" s="43"/>
      <c r="K21" s="43"/>
      <c r="L21" s="8"/>
      <c r="M21" s="8"/>
    </row>
    <row r="22" spans="2:13" ht="15.75" thickBot="1">
      <c r="B22" s="645"/>
      <c r="C22" s="634" t="s">
        <v>402</v>
      </c>
      <c r="D22" s="647">
        <f>+'TABELA ULAZNIH PODATAKA'!D55</f>
        <v>0</v>
      </c>
      <c r="E22" s="647">
        <v>1</v>
      </c>
      <c r="F22" s="647">
        <f>+IF('TABELA ULAZNIH PODATAKA'!D128&gt;0,1,0)</f>
        <v>0</v>
      </c>
      <c r="G22" s="635"/>
      <c r="H22" s="648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638"/>
      <c r="C24" s="166" t="s">
        <v>414</v>
      </c>
      <c r="D24" s="649">
        <f>+'TABELA ULAZNIH PODATAKA'!D27*'TABELA ULAZNIH PODATAKA'!D61</f>
        <v>0</v>
      </c>
      <c r="E24" s="649">
        <f>+'PRILOG 1-Analiza usluga-03-2020'!G42</f>
        <v>0</v>
      </c>
      <c r="F24" s="649"/>
      <c r="G24" s="228"/>
      <c r="H24" s="229">
        <f>+IF(E24=0,0,D24/E24)</f>
        <v>0</v>
      </c>
      <c r="I24" s="43"/>
      <c r="J24" s="43"/>
      <c r="K24" s="43">
        <f>+H24</f>
        <v>0</v>
      </c>
      <c r="L24" s="8"/>
      <c r="M24" s="8"/>
    </row>
    <row r="25" spans="2:13">
      <c r="B25" s="645"/>
      <c r="C25" s="634" t="s">
        <v>302</v>
      </c>
      <c r="D25" s="642">
        <f>+'TABELA ULAZNIH PODATAKA'!D28</f>
        <v>0</v>
      </c>
      <c r="E25" s="642">
        <f>+'PRILOG 1-Analiza usluga-03-2020'!G42</f>
        <v>0</v>
      </c>
      <c r="F25" s="642"/>
      <c r="G25" s="635"/>
      <c r="H25" s="637">
        <f t="shared" ref="H25:H26" si="3">+IF(E25=0,0,D25/E25)</f>
        <v>0</v>
      </c>
      <c r="I25" s="331"/>
      <c r="J25" s="331"/>
      <c r="K25" s="331">
        <f t="shared" ref="K25:K26" si="4">+H25</f>
        <v>0</v>
      </c>
      <c r="L25" s="8"/>
      <c r="M25" s="8"/>
    </row>
    <row r="26" spans="2:13">
      <c r="B26" s="638"/>
      <c r="C26" s="630" t="s">
        <v>303</v>
      </c>
      <c r="D26" s="650">
        <f>+'TABELA ULAZNIH PODATAKA'!D29</f>
        <v>0</v>
      </c>
      <c r="E26" s="644">
        <f>+'PRILOG 1-Analiza usluga-03-2020'!G42</f>
        <v>0</v>
      </c>
      <c r="F26" s="644"/>
      <c r="G26" s="639"/>
      <c r="H26" s="651">
        <f t="shared" si="3"/>
        <v>0</v>
      </c>
      <c r="I26" s="43"/>
      <c r="J26" s="43"/>
      <c r="K26" s="43">
        <f t="shared" si="4"/>
        <v>0</v>
      </c>
      <c r="L26" s="8"/>
      <c r="M26" s="8"/>
    </row>
    <row r="27" spans="2:13" ht="15.75" thickBot="1">
      <c r="B27" s="638"/>
      <c r="C27" s="630"/>
      <c r="D27" s="652"/>
      <c r="E27" s="653"/>
      <c r="F27" s="653"/>
      <c r="G27" s="653"/>
      <c r="H27" s="654"/>
      <c r="I27" s="43"/>
      <c r="J27" s="43"/>
      <c r="K27" s="43"/>
      <c r="L27" s="8"/>
      <c r="M27" s="8"/>
    </row>
    <row r="28" spans="2:13" ht="15.75" thickBot="1">
      <c r="B28" s="324" t="s">
        <v>6</v>
      </c>
      <c r="C28" s="321" t="s">
        <v>351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655" t="s">
        <v>416</v>
      </c>
      <c r="C31" s="656" t="s">
        <v>33</v>
      </c>
      <c r="D31" s="902">
        <f>+'TABELA ULAZNIH PODATAKA'!D128</f>
        <v>0</v>
      </c>
      <c r="E31" s="903"/>
      <c r="F31" s="657">
        <f>+IF('TABELA ULAZNIH PODATAKA'!D130&gt;0,'TABELA ULAZNIH PODATAKA'!D130,'Podanaliza-auto-11-20'!G30)</f>
        <v>0</v>
      </c>
      <c r="G31" s="902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658"/>
      <c r="C32" s="659" t="s">
        <v>306</v>
      </c>
      <c r="D32" s="260"/>
      <c r="E32" s="261"/>
      <c r="F32" s="261"/>
      <c r="G32" s="261"/>
      <c r="H32" s="660"/>
      <c r="I32" s="254">
        <f>SUM(I12:I31)</f>
        <v>0</v>
      </c>
      <c r="J32" s="254">
        <f>SUM(J12:J31)</f>
        <v>0</v>
      </c>
      <c r="K32" s="254">
        <f>SUM(K12:K31)</f>
        <v>0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661"/>
      <c r="C36" s="662" t="s">
        <v>50</v>
      </c>
      <c r="D36" s="663">
        <f>+'TABELA ULAZNIH PODATAKA'!D31</f>
        <v>0</v>
      </c>
      <c r="E36" s="219"/>
      <c r="F36" s="664">
        <f>+'TABELA ULAZNIH PODATAKA'!D47</f>
        <v>0</v>
      </c>
      <c r="G36" s="219">
        <f>+'TABELA ULAZNIH PODATAKA'!D57</f>
        <v>0</v>
      </c>
      <c r="H36" s="419">
        <f>+IF(G36=0,0,D36/F36/G36)</f>
        <v>0</v>
      </c>
      <c r="I36" s="43"/>
      <c r="J36" s="43"/>
      <c r="K36" s="43">
        <f>+H36</f>
        <v>0</v>
      </c>
      <c r="L36" s="59"/>
      <c r="M36" s="62"/>
      <c r="N36" s="45"/>
      <c r="O36" s="128"/>
      <c r="P36" s="45"/>
      <c r="Q36" s="119"/>
    </row>
    <row r="37" spans="2:17">
      <c r="B37" s="665"/>
      <c r="C37" s="334" t="s">
        <v>37</v>
      </c>
      <c r="D37" s="666">
        <f>+'TABELA ULAZNIH PODATAKA'!D32</f>
        <v>0</v>
      </c>
      <c r="E37" s="666"/>
      <c r="F37" s="642">
        <f>+'TABELA ULAZNIH PODATAKA'!D47</f>
        <v>0</v>
      </c>
      <c r="G37" s="330">
        <f>+'TABELA ULAZNIH PODATAKA'!D57</f>
        <v>0</v>
      </c>
      <c r="H37" s="420">
        <f t="shared" ref="H37:H43" si="5">+IF(G37=0,0,D37/F37/G37)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667"/>
      <c r="C38" s="166" t="s">
        <v>38</v>
      </c>
      <c r="D38" s="668">
        <f>+'TABELA ULAZNIH PODATAKA'!D33-'TABELA ULAZNIH PODATAKA'!D15-'TABELA ULAZNIH PODATAKA'!D16</f>
        <v>0</v>
      </c>
      <c r="E38" s="668"/>
      <c r="F38" s="644">
        <f>+'TABELA ULAZNIH PODATAKA'!D47</f>
        <v>0</v>
      </c>
      <c r="G38" s="221">
        <f>+'TABELA ULAZNIH PODATAKA'!D57</f>
        <v>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665"/>
      <c r="C39" s="334" t="s">
        <v>39</v>
      </c>
      <c r="D39" s="669">
        <f>+'TABELA ULAZNIH PODATAKA'!D34</f>
        <v>0</v>
      </c>
      <c r="E39" s="669"/>
      <c r="F39" s="642">
        <f>+'TABELA ULAZNIH PODATAKA'!D47</f>
        <v>0</v>
      </c>
      <c r="G39" s="330">
        <f>+'TABELA ULAZNIH PODATAKA'!D57</f>
        <v>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661"/>
      <c r="C40" s="166" t="s">
        <v>40</v>
      </c>
      <c r="D40" s="668">
        <f>+'TABELA ULAZNIH PODATAKA'!D35</f>
        <v>0</v>
      </c>
      <c r="E40" s="668"/>
      <c r="F40" s="644">
        <f>+'TABELA ULAZNIH PODATAKA'!D47</f>
        <v>0</v>
      </c>
      <c r="G40" s="221">
        <f>+'TABELA ULAZNIH PODATAKA'!D57</f>
        <v>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670"/>
      <c r="C41" s="334" t="s">
        <v>435</v>
      </c>
      <c r="D41" s="669">
        <f>+'TABELA ULAZNIH PODATAKA'!D36-(IF('TABELA ULAZNIH PODATAKA'!D61=0,0,(D26/'TABELA ULAZNIH PODATAKA'!D61*12)))</f>
        <v>0</v>
      </c>
      <c r="E41" s="669"/>
      <c r="F41" s="642">
        <f>+'TABELA ULAZNIH PODATAKA'!D47</f>
        <v>0</v>
      </c>
      <c r="G41" s="330">
        <f>+'TABELA ULAZNIH PODATAKA'!D57</f>
        <v>0</v>
      </c>
      <c r="H41" s="420">
        <f t="shared" si="5"/>
        <v>0</v>
      </c>
      <c r="I41" s="331"/>
      <c r="J41" s="331"/>
      <c r="K41" s="331">
        <f t="shared" si="6"/>
        <v>0</v>
      </c>
      <c r="L41" s="60"/>
      <c r="M41" s="62"/>
      <c r="N41" s="62"/>
      <c r="O41" s="128"/>
      <c r="P41" s="45"/>
      <c r="Q41" s="118"/>
    </row>
    <row r="42" spans="2:17">
      <c r="B42" s="667"/>
      <c r="C42" s="166" t="s">
        <v>405</v>
      </c>
      <c r="D42" s="668">
        <f>+F12*F36</f>
        <v>0</v>
      </c>
      <c r="E42" s="221">
        <f>+'TABELA ULAZNIH PODATAKA'!D39</f>
        <v>0</v>
      </c>
      <c r="F42" s="644">
        <f>+'TABELA ULAZNIH PODATAKA'!D47</f>
        <v>0</v>
      </c>
      <c r="G42" s="668">
        <f>+'TABELA ULAZNIH PODATAKA'!D57</f>
        <v>0</v>
      </c>
      <c r="H42" s="421">
        <f t="shared" si="5"/>
        <v>0</v>
      </c>
      <c r="I42" s="43">
        <f>+H42</f>
        <v>0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670"/>
      <c r="C43" s="334" t="s">
        <v>404</v>
      </c>
      <c r="D43" s="669">
        <f>+'TABELA ULAZNIH PODATAKA'!D40*F31</f>
        <v>0</v>
      </c>
      <c r="E43" s="330"/>
      <c r="F43" s="642">
        <f>+'TABELA ULAZNIH PODATAKA'!D47</f>
        <v>0</v>
      </c>
      <c r="G43" s="669">
        <f>+'TABELA ULAZNIH PODATAKA'!D57</f>
        <v>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667"/>
      <c r="C44" s="166"/>
      <c r="D44" s="671"/>
      <c r="E44" s="221"/>
      <c r="F44" s="644"/>
      <c r="G44" s="897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>
        <f>SUM(I36:I44)</f>
        <v>0</v>
      </c>
      <c r="J45" s="256">
        <f>SUM(J36:J44)</f>
        <v>0</v>
      </c>
      <c r="K45" s="256">
        <f>SUM(K36:K44)</f>
        <v>0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>
        <f>+I32+J32+K32</f>
        <v>0</v>
      </c>
      <c r="K46" s="672">
        <f>+IF(J$49=0,0,J46/J$49)</f>
        <v>0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>
        <f>+I45+J45+K45</f>
        <v>0</v>
      </c>
      <c r="K47" s="672">
        <f>+IF(J$49=0,0,J47/J$49)</f>
        <v>0</v>
      </c>
    </row>
    <row r="48" spans="2:17" ht="15.75" thickBot="1">
      <c r="B48" s="255" t="s">
        <v>448</v>
      </c>
      <c r="C48" s="673">
        <f>+'TABELA ULAZNIH PODATAKA'!D42/100</f>
        <v>0</v>
      </c>
      <c r="D48" s="260"/>
      <c r="E48" s="261"/>
      <c r="F48" s="262"/>
      <c r="G48" s="261"/>
      <c r="H48" s="263"/>
      <c r="I48" s="257"/>
      <c r="J48" s="402">
        <f>+(J47+J46)*C48</f>
        <v>0</v>
      </c>
      <c r="K48" s="672">
        <f>+IF(J$49=0,0,J48/J$49)</f>
        <v>0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>
        <f>+J46+J47+J48</f>
        <v>0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sheetProtection algorithmName="SHA-512" hashValue="koBdwDm1pFpj7BcLs32KkRNL8UFzU6JPYo3uK6/abnMoHCwitELbGN2jCSOvSt2O36VWwyVw/CWO1QZaRvvHUQ==" saltValue="MTCv2CNVOY5AHadsbBo4fw==" spinCount="100000" sheet="1" formatCells="0" formatColumns="0" formatRows="0" insertColumns="0" insertRows="0" insertHyperlinks="0" deleteColumns="0" deleteRows="0" sort="0" autoFilter="0" pivotTables="0"/>
  <mergeCells count="31">
    <mergeCell ref="C7:J7"/>
    <mergeCell ref="J1:K1"/>
    <mergeCell ref="J2:K2"/>
    <mergeCell ref="B3:K3"/>
    <mergeCell ref="C5:I5"/>
    <mergeCell ref="C6:J6"/>
    <mergeCell ref="D31:E31"/>
    <mergeCell ref="G31:H31"/>
    <mergeCell ref="I8:K8"/>
    <mergeCell ref="B9:C10"/>
    <mergeCell ref="D9:D10"/>
    <mergeCell ref="E9:E10"/>
    <mergeCell ref="F9:F10"/>
    <mergeCell ref="G9:G10"/>
    <mergeCell ref="H9:H10"/>
    <mergeCell ref="I9:K9"/>
    <mergeCell ref="C11:K11"/>
    <mergeCell ref="B29:C30"/>
    <mergeCell ref="D29:E30"/>
    <mergeCell ref="F29:F30"/>
    <mergeCell ref="G29:H30"/>
    <mergeCell ref="G44:H44"/>
    <mergeCell ref="B45:H45"/>
    <mergeCell ref="B46:H46"/>
    <mergeCell ref="B49:H49"/>
    <mergeCell ref="C33:K33"/>
    <mergeCell ref="B34:C35"/>
    <mergeCell ref="D34:D35"/>
    <mergeCell ref="E34:F35"/>
    <mergeCell ref="G34:G35"/>
    <mergeCell ref="H34:H35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385DE-6069-4205-827E-98085161C4CB}">
  <sheetPr>
    <tabColor rgb="FF0070C0"/>
    <pageSetUpPr fitToPage="1"/>
  </sheetPr>
  <dimension ref="A1:Q51"/>
  <sheetViews>
    <sheetView topLeftCell="B1" zoomScale="112" zoomScaleNormal="112" zoomScaleSheetLayoutView="150" workbookViewId="0">
      <selection activeCell="I27" sqref="I27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637</v>
      </c>
      <c r="C5" s="870">
        <f>+'TABELA ULAZNIH PODATAKA'!C115</f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629"/>
      <c r="C12" s="630" t="s">
        <v>410</v>
      </c>
      <c r="D12" s="631">
        <f>+'TABELA ULAZNIH PODATAKA'!D20</f>
        <v>0</v>
      </c>
      <c r="E12" s="631">
        <f>+'TABELA ULAZNIH PODATAKA'!D43</f>
        <v>0</v>
      </c>
      <c r="F12" s="631">
        <f>+IF(E12=0,0,D12/E12*8)</f>
        <v>0</v>
      </c>
      <c r="G12" s="631">
        <f>+'TABELA ULAZNIH PODATAKA'!D134</f>
        <v>0</v>
      </c>
      <c r="H12" s="632">
        <f>+F12*G12</f>
        <v>0</v>
      </c>
      <c r="I12" s="40">
        <f>+H12</f>
        <v>0</v>
      </c>
      <c r="J12" s="40"/>
      <c r="K12" s="40"/>
      <c r="L12" s="8"/>
      <c r="M12" s="8"/>
    </row>
    <row r="13" spans="2:13" ht="18" customHeight="1" thickBot="1">
      <c r="B13" s="633"/>
      <c r="C13" s="634" t="s">
        <v>395</v>
      </c>
      <c r="D13" s="635"/>
      <c r="E13" s="636">
        <f>+('TABELA ULAZNIH PODATAKA'!D44+'TABELA ULAZNIH PODATAKA'!D45)/(365-104-('TABELA ULAZNIH PODATAKA'!D44+'TABELA ULAZNIH PODATAKA'!D45))</f>
        <v>0</v>
      </c>
      <c r="F13" s="635">
        <f>+F12*E13</f>
        <v>0</v>
      </c>
      <c r="G13" s="635">
        <f>+G12</f>
        <v>0</v>
      </c>
      <c r="H13" s="637">
        <f>+F13*G13*E13</f>
        <v>0</v>
      </c>
      <c r="I13" s="337">
        <f>+H13</f>
        <v>0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638"/>
      <c r="C15" s="630" t="s">
        <v>396</v>
      </c>
      <c r="D15" s="639"/>
      <c r="E15" s="639">
        <f>+'TABELA ULAZNIH PODATAKA'!D135/40</f>
        <v>0</v>
      </c>
      <c r="F15" s="639">
        <f>+H12</f>
        <v>0</v>
      </c>
      <c r="G15" s="639">
        <v>1</v>
      </c>
      <c r="H15" s="640">
        <f>+E15*F15*G15</f>
        <v>0</v>
      </c>
      <c r="I15" s="40">
        <f>+H15</f>
        <v>0</v>
      </c>
      <c r="J15" s="40"/>
      <c r="K15" s="40"/>
      <c r="L15" s="8"/>
      <c r="M15" s="39"/>
    </row>
    <row r="16" spans="2:13">
      <c r="B16" s="641"/>
      <c r="C16" s="634" t="s">
        <v>368</v>
      </c>
      <c r="D16" s="642"/>
      <c r="E16" s="642"/>
      <c r="F16" s="642"/>
      <c r="G16" s="635"/>
      <c r="H16" s="637"/>
      <c r="I16" s="331"/>
      <c r="J16" s="331"/>
      <c r="K16" s="331"/>
      <c r="L16" s="8"/>
      <c r="M16" s="8"/>
    </row>
    <row r="17" spans="2:13">
      <c r="B17" s="638"/>
      <c r="C17" s="643" t="s">
        <v>397</v>
      </c>
      <c r="D17" s="644">
        <f>+'TABELA ULAZNIH PODATAKA'!D51</f>
        <v>0</v>
      </c>
      <c r="E17" s="644">
        <f>+'TABELA ULAZNIH PODATAKA'!D47</f>
        <v>0</v>
      </c>
      <c r="F17" s="644">
        <f>+IF(E17=0,0,D17/E17)</f>
        <v>0</v>
      </c>
      <c r="G17" s="639">
        <v>1</v>
      </c>
      <c r="H17" s="640">
        <f>+F17</f>
        <v>0</v>
      </c>
      <c r="I17" s="43">
        <f>+H17</f>
        <v>0</v>
      </c>
      <c r="J17" s="43"/>
      <c r="K17" s="43"/>
      <c r="L17" s="8"/>
      <c r="M17" s="8"/>
    </row>
    <row r="18" spans="2:13">
      <c r="B18" s="645"/>
      <c r="C18" s="646" t="s">
        <v>400</v>
      </c>
      <c r="D18" s="642">
        <f>+IF('TABELA ULAZNIH PODATAKA'!D137&gt;0,'TABELA ULAZNIH PODATAKA'!D137,'TABELA ULAZNIH PODATAKA'!D52)</f>
        <v>0</v>
      </c>
      <c r="E18" s="642">
        <f>+ROUND(E17/12,0)</f>
        <v>0</v>
      </c>
      <c r="F18" s="642">
        <f t="shared" ref="F18:F20" si="0">+IF(E18=0,0,D18/E18)</f>
        <v>0</v>
      </c>
      <c r="G18" s="635">
        <v>1</v>
      </c>
      <c r="H18" s="637">
        <f t="shared" ref="H18:H20" si="1">+F18</f>
        <v>0</v>
      </c>
      <c r="I18" s="331">
        <f t="shared" ref="I18:I20" si="2">+H18</f>
        <v>0</v>
      </c>
      <c r="J18" s="331"/>
      <c r="K18" s="331"/>
      <c r="L18" s="8"/>
      <c r="M18" s="8"/>
    </row>
    <row r="19" spans="2:13">
      <c r="B19" s="638"/>
      <c r="C19" s="643" t="s">
        <v>413</v>
      </c>
      <c r="D19" s="644">
        <f>+'TABELA ULAZNIH PODATAKA'!D53</f>
        <v>0</v>
      </c>
      <c r="E19" s="644">
        <f>+E17</f>
        <v>0</v>
      </c>
      <c r="F19" s="644">
        <f t="shared" si="0"/>
        <v>0</v>
      </c>
      <c r="G19" s="639">
        <v>1</v>
      </c>
      <c r="H19" s="640">
        <f t="shared" si="1"/>
        <v>0</v>
      </c>
      <c r="I19" s="43">
        <f t="shared" si="2"/>
        <v>0</v>
      </c>
      <c r="J19" s="43"/>
      <c r="K19" s="43"/>
      <c r="L19" s="8"/>
      <c r="M19" s="8"/>
    </row>
    <row r="20" spans="2:13">
      <c r="B20" s="645"/>
      <c r="C20" s="646" t="s">
        <v>401</v>
      </c>
      <c r="D20" s="642">
        <f>+'TABELA ULAZNIH PODATAKA'!D54</f>
        <v>0</v>
      </c>
      <c r="E20" s="642">
        <f>+E19</f>
        <v>0</v>
      </c>
      <c r="F20" s="642">
        <f t="shared" si="0"/>
        <v>0</v>
      </c>
      <c r="G20" s="635">
        <v>1</v>
      </c>
      <c r="H20" s="637">
        <f t="shared" si="1"/>
        <v>0</v>
      </c>
      <c r="I20" s="331">
        <f t="shared" si="2"/>
        <v>0</v>
      </c>
      <c r="J20" s="331"/>
      <c r="K20" s="331"/>
      <c r="L20" s="8"/>
      <c r="M20" s="8"/>
    </row>
    <row r="21" spans="2:13">
      <c r="B21" s="638"/>
      <c r="C21" s="630"/>
      <c r="D21" s="644"/>
      <c r="E21" s="644"/>
      <c r="F21" s="644"/>
      <c r="G21" s="644"/>
      <c r="H21" s="640"/>
      <c r="I21" s="43"/>
      <c r="J21" s="43"/>
      <c r="K21" s="43"/>
      <c r="L21" s="8"/>
      <c r="M21" s="8"/>
    </row>
    <row r="22" spans="2:13" ht="15.75" thickBot="1">
      <c r="B22" s="645"/>
      <c r="C22" s="634" t="s">
        <v>402</v>
      </c>
      <c r="D22" s="647">
        <f>+'TABELA ULAZNIH PODATAKA'!D55</f>
        <v>0</v>
      </c>
      <c r="E22" s="647">
        <v>1</v>
      </c>
      <c r="F22" s="647">
        <f>+IF('TABELA ULAZNIH PODATAKA'!D136&gt;0,1,0)</f>
        <v>0</v>
      </c>
      <c r="G22" s="635"/>
      <c r="H22" s="648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638"/>
      <c r="C24" s="166" t="s">
        <v>414</v>
      </c>
      <c r="D24" s="649">
        <f>+'TABELA ULAZNIH PODATAKA'!D27*'TABELA ULAZNIH PODATAKA'!D61</f>
        <v>0</v>
      </c>
      <c r="E24" s="649">
        <f>+'PRILOG 1-Analiza usluga-03-2020'!G42</f>
        <v>0</v>
      </c>
      <c r="F24" s="649"/>
      <c r="G24" s="228"/>
      <c r="H24" s="229">
        <f>+IF(E24=0,0,D24/E24)</f>
        <v>0</v>
      </c>
      <c r="I24" s="43"/>
      <c r="J24" s="43"/>
      <c r="K24" s="43">
        <f>+H24</f>
        <v>0</v>
      </c>
      <c r="L24" s="8"/>
      <c r="M24" s="8"/>
    </row>
    <row r="25" spans="2:13">
      <c r="B25" s="645"/>
      <c r="C25" s="634" t="s">
        <v>302</v>
      </c>
      <c r="D25" s="642">
        <f>+'TABELA ULAZNIH PODATAKA'!D28</f>
        <v>0</v>
      </c>
      <c r="E25" s="642">
        <f>+'PRILOG 1-Analiza usluga-03-2020'!G42</f>
        <v>0</v>
      </c>
      <c r="F25" s="642"/>
      <c r="G25" s="635"/>
      <c r="H25" s="637">
        <f t="shared" ref="H25:H26" si="3">+IF(E25=0,0,D25/E25)</f>
        <v>0</v>
      </c>
      <c r="I25" s="331"/>
      <c r="J25" s="331"/>
      <c r="K25" s="331">
        <f t="shared" ref="K25:K26" si="4">+H25</f>
        <v>0</v>
      </c>
      <c r="L25" s="8"/>
      <c r="M25" s="8"/>
    </row>
    <row r="26" spans="2:13">
      <c r="B26" s="638"/>
      <c r="C26" s="630" t="s">
        <v>303</v>
      </c>
      <c r="D26" s="650">
        <f>+'TABELA ULAZNIH PODATAKA'!D29</f>
        <v>0</v>
      </c>
      <c r="E26" s="644">
        <f>+'PRILOG 1-Analiza usluga-03-2020'!G42</f>
        <v>0</v>
      </c>
      <c r="F26" s="644"/>
      <c r="G26" s="639"/>
      <c r="H26" s="651">
        <f t="shared" si="3"/>
        <v>0</v>
      </c>
      <c r="I26" s="43"/>
      <c r="J26" s="43"/>
      <c r="K26" s="43">
        <f t="shared" si="4"/>
        <v>0</v>
      </c>
      <c r="L26" s="8"/>
      <c r="M26" s="8"/>
    </row>
    <row r="27" spans="2:13" ht="15.75" thickBot="1">
      <c r="B27" s="638"/>
      <c r="C27" s="630"/>
      <c r="D27" s="652"/>
      <c r="E27" s="653"/>
      <c r="F27" s="653"/>
      <c r="G27" s="653"/>
      <c r="H27" s="654"/>
      <c r="I27" s="43"/>
      <c r="J27" s="43"/>
      <c r="K27" s="43"/>
      <c r="L27" s="8"/>
      <c r="M27" s="8"/>
    </row>
    <row r="28" spans="2:13" ht="15.75" thickBot="1">
      <c r="B28" s="324" t="s">
        <v>6</v>
      </c>
      <c r="C28" s="321" t="s">
        <v>351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655" t="s">
        <v>416</v>
      </c>
      <c r="C31" s="656" t="s">
        <v>33</v>
      </c>
      <c r="D31" s="902">
        <f>+'TABELA ULAZNIH PODATAKA'!D136</f>
        <v>0</v>
      </c>
      <c r="E31" s="903"/>
      <c r="F31" s="657">
        <f>+IF('TABELA ULAZNIH PODATAKA'!D138&gt;0,'TABELA ULAZNIH PODATAKA'!D138,'Podanaliza-auto-11-20'!G30)</f>
        <v>0</v>
      </c>
      <c r="G31" s="902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658"/>
      <c r="C32" s="659" t="s">
        <v>306</v>
      </c>
      <c r="D32" s="260"/>
      <c r="E32" s="261"/>
      <c r="F32" s="261"/>
      <c r="G32" s="261"/>
      <c r="H32" s="660"/>
      <c r="I32" s="254">
        <f>SUM(I12:I31)</f>
        <v>0</v>
      </c>
      <c r="J32" s="254">
        <f>SUM(J12:J31)</f>
        <v>0</v>
      </c>
      <c r="K32" s="254">
        <f>SUM(K12:K31)</f>
        <v>0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661"/>
      <c r="C36" s="662" t="s">
        <v>50</v>
      </c>
      <c r="D36" s="663">
        <f>+'TABELA ULAZNIH PODATAKA'!D31</f>
        <v>0</v>
      </c>
      <c r="E36" s="219"/>
      <c r="F36" s="664">
        <f>+'TABELA ULAZNIH PODATAKA'!D47</f>
        <v>0</v>
      </c>
      <c r="G36" s="219">
        <f>+'TABELA ULAZNIH PODATAKA'!D57</f>
        <v>0</v>
      </c>
      <c r="H36" s="419">
        <f>+IF(G36=0,0,D36/F36/G36)</f>
        <v>0</v>
      </c>
      <c r="I36" s="43"/>
      <c r="J36" s="43"/>
      <c r="K36" s="43">
        <f>+H36</f>
        <v>0</v>
      </c>
      <c r="L36" s="59"/>
      <c r="M36" s="62"/>
      <c r="N36" s="45"/>
      <c r="O36" s="128"/>
      <c r="P36" s="45"/>
      <c r="Q36" s="119"/>
    </row>
    <row r="37" spans="2:17">
      <c r="B37" s="665"/>
      <c r="C37" s="334" t="s">
        <v>37</v>
      </c>
      <c r="D37" s="666">
        <f>+'TABELA ULAZNIH PODATAKA'!D32</f>
        <v>0</v>
      </c>
      <c r="E37" s="666"/>
      <c r="F37" s="642">
        <f>+'TABELA ULAZNIH PODATAKA'!D47</f>
        <v>0</v>
      </c>
      <c r="G37" s="330">
        <f>+'TABELA ULAZNIH PODATAKA'!D57</f>
        <v>0</v>
      </c>
      <c r="H37" s="420">
        <f t="shared" ref="H37:H43" si="5">+IF(G37=0,0,D37/F37/G37)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667"/>
      <c r="C38" s="166" t="s">
        <v>38</v>
      </c>
      <c r="D38" s="668">
        <f>+'TABELA ULAZNIH PODATAKA'!D33-'TABELA ULAZNIH PODATAKA'!D15-'TABELA ULAZNIH PODATAKA'!D16</f>
        <v>0</v>
      </c>
      <c r="E38" s="668"/>
      <c r="F38" s="644">
        <f>+'TABELA ULAZNIH PODATAKA'!D47</f>
        <v>0</v>
      </c>
      <c r="G38" s="221">
        <f>+'TABELA ULAZNIH PODATAKA'!D57</f>
        <v>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665"/>
      <c r="C39" s="334" t="s">
        <v>39</v>
      </c>
      <c r="D39" s="669">
        <f>+'TABELA ULAZNIH PODATAKA'!D34</f>
        <v>0</v>
      </c>
      <c r="E39" s="669"/>
      <c r="F39" s="642">
        <f>+'TABELA ULAZNIH PODATAKA'!D47</f>
        <v>0</v>
      </c>
      <c r="G39" s="330">
        <f>+'TABELA ULAZNIH PODATAKA'!D57</f>
        <v>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661"/>
      <c r="C40" s="166" t="s">
        <v>40</v>
      </c>
      <c r="D40" s="668">
        <f>+'TABELA ULAZNIH PODATAKA'!D35</f>
        <v>0</v>
      </c>
      <c r="E40" s="668"/>
      <c r="F40" s="644">
        <f>+'TABELA ULAZNIH PODATAKA'!D47</f>
        <v>0</v>
      </c>
      <c r="G40" s="221">
        <f>+'TABELA ULAZNIH PODATAKA'!D57</f>
        <v>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670"/>
      <c r="C41" s="334" t="s">
        <v>435</v>
      </c>
      <c r="D41" s="669">
        <f>+'TABELA ULAZNIH PODATAKA'!D36-(IF('TABELA ULAZNIH PODATAKA'!D61=0,0,(D26/'TABELA ULAZNIH PODATAKA'!D61*12)))</f>
        <v>0</v>
      </c>
      <c r="E41" s="669"/>
      <c r="F41" s="642">
        <f>+'TABELA ULAZNIH PODATAKA'!D47</f>
        <v>0</v>
      </c>
      <c r="G41" s="330">
        <f>+'TABELA ULAZNIH PODATAKA'!D57</f>
        <v>0</v>
      </c>
      <c r="H41" s="420">
        <f t="shared" si="5"/>
        <v>0</v>
      </c>
      <c r="I41" s="331"/>
      <c r="J41" s="331"/>
      <c r="K41" s="331">
        <f t="shared" si="6"/>
        <v>0</v>
      </c>
      <c r="L41" s="60"/>
      <c r="M41" s="62"/>
      <c r="N41" s="62"/>
      <c r="O41" s="128"/>
      <c r="P41" s="45"/>
      <c r="Q41" s="118"/>
    </row>
    <row r="42" spans="2:17">
      <c r="B42" s="667"/>
      <c r="C42" s="166" t="s">
        <v>405</v>
      </c>
      <c r="D42" s="668">
        <f>+F12*F36</f>
        <v>0</v>
      </c>
      <c r="E42" s="221">
        <f>+'TABELA ULAZNIH PODATAKA'!D39</f>
        <v>0</v>
      </c>
      <c r="F42" s="644">
        <f>+'TABELA ULAZNIH PODATAKA'!D47</f>
        <v>0</v>
      </c>
      <c r="G42" s="668">
        <f>+'TABELA ULAZNIH PODATAKA'!D57</f>
        <v>0</v>
      </c>
      <c r="H42" s="421">
        <f t="shared" si="5"/>
        <v>0</v>
      </c>
      <c r="I42" s="43">
        <f>+H42</f>
        <v>0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670"/>
      <c r="C43" s="334" t="s">
        <v>404</v>
      </c>
      <c r="D43" s="669">
        <f>+'TABELA ULAZNIH PODATAKA'!D40*F31</f>
        <v>0</v>
      </c>
      <c r="E43" s="330"/>
      <c r="F43" s="642">
        <f>+'TABELA ULAZNIH PODATAKA'!D47</f>
        <v>0</v>
      </c>
      <c r="G43" s="669">
        <f>+'TABELA ULAZNIH PODATAKA'!D57</f>
        <v>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667"/>
      <c r="C44" s="166"/>
      <c r="D44" s="671"/>
      <c r="E44" s="221"/>
      <c r="F44" s="644"/>
      <c r="G44" s="897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>
        <f>SUM(I36:I44)</f>
        <v>0</v>
      </c>
      <c r="J45" s="256">
        <f>SUM(J36:J44)</f>
        <v>0</v>
      </c>
      <c r="K45" s="256">
        <f>SUM(K36:K44)</f>
        <v>0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>
        <f>+I32+J32+K32</f>
        <v>0</v>
      </c>
      <c r="K46" s="672">
        <f>+IF(J$49=0,0,J46/J$49)</f>
        <v>0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>
        <f>+I45+J45+K45</f>
        <v>0</v>
      </c>
      <c r="K47" s="672">
        <f>+IF(J$49=0,0,J47/J$49)</f>
        <v>0</v>
      </c>
    </row>
    <row r="48" spans="2:17" ht="15.75" thickBot="1">
      <c r="B48" s="255" t="s">
        <v>448</v>
      </c>
      <c r="C48" s="673">
        <f>+'TABELA ULAZNIH PODATAKA'!D42/100</f>
        <v>0</v>
      </c>
      <c r="D48" s="260"/>
      <c r="E48" s="261"/>
      <c r="F48" s="262"/>
      <c r="G48" s="261"/>
      <c r="H48" s="263"/>
      <c r="I48" s="257"/>
      <c r="J48" s="402">
        <f>+(J47+J46)*C48</f>
        <v>0</v>
      </c>
      <c r="K48" s="672">
        <f>+IF(J$49=0,0,J48/J$49)</f>
        <v>0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>
        <f>+J46+J47+J48</f>
        <v>0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sheetProtection algorithmName="SHA-512" hashValue="TXcsuYtetE2PRqoWZXigtSVyGg1i4nFAJa0D3QtLYvMWjqyrL6Lj6iRzcxxJvrvsqYAfnTfGxvYrxHBXidjyjg==" saltValue="MpF5dcTBdWDvOjOCOO2SWQ==" spinCount="100000" sheet="1" scenarios="1" formatCells="0" formatColumns="0" formatRows="0" insertColumns="0" insertRows="0" insertHyperlinks="0" deleteColumns="0" deleteRows="0" sort="0" autoFilter="0" pivotTables="0"/>
  <mergeCells count="31">
    <mergeCell ref="C7:J7"/>
    <mergeCell ref="J1:K1"/>
    <mergeCell ref="J2:K2"/>
    <mergeCell ref="B3:K3"/>
    <mergeCell ref="C5:I5"/>
    <mergeCell ref="C6:J6"/>
    <mergeCell ref="D31:E31"/>
    <mergeCell ref="G31:H31"/>
    <mergeCell ref="I8:K8"/>
    <mergeCell ref="B9:C10"/>
    <mergeCell ref="D9:D10"/>
    <mergeCell ref="E9:E10"/>
    <mergeCell ref="F9:F10"/>
    <mergeCell ref="G9:G10"/>
    <mergeCell ref="H9:H10"/>
    <mergeCell ref="I9:K9"/>
    <mergeCell ref="C11:K11"/>
    <mergeCell ref="B29:C30"/>
    <mergeCell ref="D29:E30"/>
    <mergeCell ref="F29:F30"/>
    <mergeCell ref="G29:H30"/>
    <mergeCell ref="G44:H44"/>
    <mergeCell ref="B45:H45"/>
    <mergeCell ref="B46:H46"/>
    <mergeCell ref="B49:H49"/>
    <mergeCell ref="C33:K33"/>
    <mergeCell ref="B34:C35"/>
    <mergeCell ref="D34:D35"/>
    <mergeCell ref="E34:F35"/>
    <mergeCell ref="G34:G35"/>
    <mergeCell ref="H34:H35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B1:Q49"/>
  <sheetViews>
    <sheetView zoomScale="96" zoomScaleNormal="96" zoomScaleSheetLayoutView="110" workbookViewId="0">
      <selection activeCell="C3" sqref="C3"/>
    </sheetView>
  </sheetViews>
  <sheetFormatPr defaultColWidth="8.85546875" defaultRowHeight="15"/>
  <cols>
    <col min="1" max="1" width="3.28515625" customWidth="1"/>
    <col min="2" max="2" width="13.7109375" customWidth="1"/>
    <col min="3" max="3" width="43.28515625" style="16" customWidth="1"/>
    <col min="4" max="4" width="9.42578125" customWidth="1"/>
    <col min="5" max="5" width="10.85546875" customWidth="1"/>
    <col min="6" max="8" width="9.7109375" customWidth="1"/>
    <col min="9" max="15" width="14.140625" customWidth="1"/>
    <col min="17" max="17" width="12.140625" style="45" hidden="1" customWidth="1"/>
  </cols>
  <sheetData>
    <row r="1" spans="2:17" ht="38.1" customHeight="1">
      <c r="B1" s="311"/>
      <c r="C1" s="674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60" t="s">
        <v>441</v>
      </c>
    </row>
    <row r="2" spans="2:17">
      <c r="B2" s="675" t="s">
        <v>51</v>
      </c>
      <c r="C2" s="925">
        <f>+'TABELA ULAZNIH PODATAKA'!B2</f>
        <v>0</v>
      </c>
      <c r="D2" s="926"/>
      <c r="E2" s="926"/>
      <c r="F2" s="926"/>
      <c r="G2" s="926"/>
      <c r="H2" s="926"/>
      <c r="I2" s="926"/>
      <c r="J2" s="926"/>
      <c r="K2" s="926"/>
      <c r="L2" s="926"/>
      <c r="M2" s="926"/>
      <c r="N2" s="926"/>
      <c r="O2" s="926"/>
    </row>
    <row r="3" spans="2:17">
      <c r="B3" s="676"/>
      <c r="C3" s="270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677"/>
    </row>
    <row r="4" spans="2:17" ht="18">
      <c r="B4" s="922" t="s">
        <v>437</v>
      </c>
      <c r="C4" s="869"/>
      <c r="D4" s="869"/>
      <c r="E4" s="869"/>
      <c r="F4" s="869"/>
      <c r="G4" s="869"/>
      <c r="H4" s="869"/>
      <c r="I4" s="869"/>
      <c r="J4" s="923"/>
      <c r="K4" s="923"/>
      <c r="L4" s="923"/>
      <c r="M4" s="923"/>
      <c r="N4" s="923"/>
      <c r="O4" s="924"/>
    </row>
    <row r="5" spans="2:17" ht="15.75" thickBot="1">
      <c r="B5" s="678"/>
      <c r="C5" s="273"/>
      <c r="D5" s="274"/>
      <c r="E5" s="274"/>
      <c r="F5" s="275"/>
      <c r="G5" s="275"/>
      <c r="H5" s="275"/>
      <c r="I5" s="275"/>
      <c r="J5" s="269"/>
      <c r="K5" s="269"/>
      <c r="L5" s="269"/>
      <c r="M5" s="269"/>
      <c r="N5" s="269"/>
      <c r="O5" s="677"/>
    </row>
    <row r="6" spans="2:17" ht="15.75" thickBot="1">
      <c r="B6" s="125" t="s">
        <v>278</v>
      </c>
      <c r="C6" s="870" t="s">
        <v>0</v>
      </c>
      <c r="D6" s="871"/>
      <c r="E6" s="871"/>
      <c r="F6" s="871"/>
      <c r="G6" s="871"/>
      <c r="H6" s="871"/>
      <c r="I6" s="871"/>
      <c r="J6" s="871"/>
      <c r="K6" s="871"/>
      <c r="L6" s="871"/>
      <c r="M6" s="871"/>
      <c r="N6" s="871"/>
      <c r="O6" s="934"/>
    </row>
    <row r="7" spans="2:17" ht="21.6" customHeight="1" thickBot="1">
      <c r="B7" s="679"/>
      <c r="C7" s="929" t="s">
        <v>371</v>
      </c>
      <c r="D7" s="930"/>
      <c r="E7" s="930"/>
      <c r="F7" s="930"/>
      <c r="G7" s="930"/>
      <c r="H7" s="930"/>
      <c r="I7" s="930"/>
      <c r="J7" s="930"/>
      <c r="K7" s="930"/>
      <c r="L7" s="930"/>
      <c r="M7" s="930"/>
      <c r="N7" s="930"/>
      <c r="O7" s="935"/>
    </row>
    <row r="8" spans="2:17" s="234" customFormat="1" ht="12.75">
      <c r="B8" s="680" t="s">
        <v>280</v>
      </c>
      <c r="C8" s="936">
        <f>'TABELA ULAZNIH PODATAKA'!C75</f>
        <v>0</v>
      </c>
      <c r="D8" s="936"/>
      <c r="E8" s="936"/>
      <c r="F8" s="936"/>
      <c r="G8" s="936"/>
      <c r="H8" s="936"/>
      <c r="I8" s="936"/>
      <c r="J8" s="936"/>
      <c r="K8" s="936"/>
      <c r="L8" s="936"/>
      <c r="M8" s="936"/>
      <c r="N8" s="936"/>
      <c r="O8" s="937"/>
      <c r="Q8" s="469"/>
    </row>
    <row r="9" spans="2:17" s="234" customFormat="1" ht="12.75">
      <c r="B9" s="681" t="s">
        <v>281</v>
      </c>
      <c r="C9" s="927">
        <f>'TABELA ULAZNIH PODATAKA'!C83</f>
        <v>0</v>
      </c>
      <c r="D9" s="927"/>
      <c r="E9" s="927"/>
      <c r="F9" s="927"/>
      <c r="G9" s="927"/>
      <c r="H9" s="927"/>
      <c r="I9" s="927"/>
      <c r="J9" s="927"/>
      <c r="K9" s="927"/>
      <c r="L9" s="927"/>
      <c r="M9" s="927"/>
      <c r="N9" s="927"/>
      <c r="O9" s="928"/>
      <c r="Q9" s="469"/>
    </row>
    <row r="10" spans="2:17" s="234" customFormat="1" ht="12.75">
      <c r="B10" s="681" t="s">
        <v>282</v>
      </c>
      <c r="C10" s="927">
        <f>'TABELA ULAZNIH PODATAKA'!C91</f>
        <v>0</v>
      </c>
      <c r="D10" s="927"/>
      <c r="E10" s="927"/>
      <c r="F10" s="927"/>
      <c r="G10" s="927"/>
      <c r="H10" s="927"/>
      <c r="I10" s="927"/>
      <c r="J10" s="927"/>
      <c r="K10" s="927"/>
      <c r="L10" s="927"/>
      <c r="M10" s="927"/>
      <c r="N10" s="927"/>
      <c r="O10" s="928"/>
      <c r="Q10" s="469"/>
    </row>
    <row r="11" spans="2:17" s="234" customFormat="1" ht="12.75">
      <c r="B11" s="681" t="s">
        <v>283</v>
      </c>
      <c r="C11" s="927">
        <f>'TABELA ULAZNIH PODATAKA'!C99</f>
        <v>0</v>
      </c>
      <c r="D11" s="927"/>
      <c r="E11" s="927"/>
      <c r="F11" s="927"/>
      <c r="G11" s="927"/>
      <c r="H11" s="927"/>
      <c r="I11" s="927"/>
      <c r="J11" s="927"/>
      <c r="K11" s="927"/>
      <c r="L11" s="927"/>
      <c r="M11" s="927"/>
      <c r="N11" s="927"/>
      <c r="O11" s="928"/>
      <c r="Q11" s="469"/>
    </row>
    <row r="12" spans="2:17" s="234" customFormat="1" ht="12.75">
      <c r="B12" s="681" t="s">
        <v>284</v>
      </c>
      <c r="C12" s="927">
        <f>'TABELA ULAZNIH PODATAKA'!C107</f>
        <v>0</v>
      </c>
      <c r="D12" s="927"/>
      <c r="E12" s="927"/>
      <c r="F12" s="927"/>
      <c r="G12" s="927"/>
      <c r="H12" s="927"/>
      <c r="I12" s="927"/>
      <c r="J12" s="927"/>
      <c r="K12" s="927"/>
      <c r="L12" s="927"/>
      <c r="M12" s="927"/>
      <c r="N12" s="927"/>
      <c r="O12" s="928"/>
      <c r="Q12" s="469"/>
    </row>
    <row r="13" spans="2:17" s="234" customFormat="1" ht="12.75">
      <c r="B13" s="681" t="s">
        <v>285</v>
      </c>
      <c r="C13" s="927">
        <f>'TABELA ULAZNIH PODATAKA'!C115</f>
        <v>0</v>
      </c>
      <c r="D13" s="927"/>
      <c r="E13" s="927"/>
      <c r="F13" s="927"/>
      <c r="G13" s="927"/>
      <c r="H13" s="927"/>
      <c r="I13" s="927"/>
      <c r="J13" s="927"/>
      <c r="K13" s="927"/>
      <c r="L13" s="927"/>
      <c r="M13" s="927"/>
      <c r="N13" s="927"/>
      <c r="O13" s="928"/>
      <c r="Q13" s="469"/>
    </row>
    <row r="14" spans="2:17" s="234" customFormat="1" ht="13.5" thickBot="1">
      <c r="B14" s="681" t="s">
        <v>286</v>
      </c>
      <c r="C14" s="938">
        <f>'TABELA ULAZNIH PODATAKA'!C123</f>
        <v>0</v>
      </c>
      <c r="D14" s="938"/>
      <c r="E14" s="938"/>
      <c r="F14" s="938"/>
      <c r="G14" s="938"/>
      <c r="H14" s="938"/>
      <c r="I14" s="938"/>
      <c r="J14" s="927"/>
      <c r="K14" s="927"/>
      <c r="L14" s="927"/>
      <c r="M14" s="927"/>
      <c r="N14" s="927"/>
      <c r="O14" s="928"/>
      <c r="Q14" s="469"/>
    </row>
    <row r="15" spans="2:17" ht="27" customHeight="1" thickBot="1">
      <c r="B15" s="880" t="s">
        <v>2</v>
      </c>
      <c r="C15" s="881"/>
      <c r="D15" s="890" t="s">
        <v>15</v>
      </c>
      <c r="E15" s="890" t="s">
        <v>46</v>
      </c>
      <c r="F15" s="892" t="s">
        <v>452</v>
      </c>
      <c r="G15" s="892" t="s">
        <v>453</v>
      </c>
      <c r="H15" s="875" t="s">
        <v>422</v>
      </c>
      <c r="I15" s="682" t="s">
        <v>406</v>
      </c>
      <c r="J15" s="931" t="s">
        <v>374</v>
      </c>
      <c r="K15" s="932"/>
      <c r="L15" s="932"/>
      <c r="M15" s="932"/>
      <c r="N15" s="932"/>
      <c r="O15" s="933"/>
    </row>
    <row r="16" spans="2:17" ht="51.6" customHeight="1" thickBot="1">
      <c r="B16" s="882"/>
      <c r="C16" s="883"/>
      <c r="D16" s="891"/>
      <c r="E16" s="939"/>
      <c r="F16" s="893"/>
      <c r="G16" s="940"/>
      <c r="H16" s="876"/>
      <c r="I16" s="682" t="s">
        <v>431</v>
      </c>
      <c r="J16" s="683" t="s">
        <v>4</v>
      </c>
      <c r="K16" s="684" t="s">
        <v>372</v>
      </c>
      <c r="L16" s="684" t="s">
        <v>308</v>
      </c>
      <c r="M16" s="682" t="s">
        <v>307</v>
      </c>
      <c r="N16" s="682" t="s">
        <v>446</v>
      </c>
      <c r="O16" s="684" t="s">
        <v>373</v>
      </c>
    </row>
    <row r="17" spans="2:17" ht="15.75" thickBot="1">
      <c r="B17" s="685" t="s">
        <v>7</v>
      </c>
      <c r="C17" s="686" t="s">
        <v>43</v>
      </c>
      <c r="D17" s="687"/>
      <c r="E17" s="687"/>
      <c r="F17" s="688"/>
      <c r="G17" s="688"/>
      <c r="H17" s="688"/>
      <c r="I17" s="689"/>
      <c r="J17" s="689"/>
      <c r="K17" s="689"/>
      <c r="L17" s="689"/>
      <c r="M17" s="690"/>
      <c r="N17" s="690"/>
      <c r="O17" s="689"/>
    </row>
    <row r="18" spans="2:17">
      <c r="B18" s="691" t="s">
        <v>291</v>
      </c>
      <c r="C18" s="692" t="s">
        <v>280</v>
      </c>
      <c r="D18" s="693"/>
      <c r="E18" s="693"/>
      <c r="F18" s="694"/>
      <c r="G18" s="694"/>
      <c r="H18" s="694"/>
      <c r="I18" s="694"/>
      <c r="J18" s="694"/>
      <c r="K18" s="694"/>
      <c r="L18" s="694"/>
      <c r="M18" s="694"/>
      <c r="N18" s="695"/>
      <c r="O18" s="696"/>
    </row>
    <row r="19" spans="2:17">
      <c r="B19" s="697"/>
      <c r="C19" s="698"/>
      <c r="D19" s="699" t="s">
        <v>8</v>
      </c>
      <c r="E19" s="699">
        <f>+'TABELA ULAZNIH PODATAKA'!D77</f>
        <v>0</v>
      </c>
      <c r="F19" s="635">
        <f>+'TABELA ULAZNIH PODATAKA'!D76*'TABELA ULAZNIH PODATAKA'!D75</f>
        <v>0</v>
      </c>
      <c r="G19" s="635">
        <f>+E19*F19</f>
        <v>0</v>
      </c>
      <c r="H19" s="699">
        <f>+'ANALIZA-STRUČNJAK 1'!J$49</f>
        <v>0</v>
      </c>
      <c r="I19" s="699">
        <f>+H19*G19</f>
        <v>0</v>
      </c>
      <c r="J19" s="700">
        <f>+'ANALIZA-STRUČNJAK 1'!I$32*$G$19</f>
        <v>0</v>
      </c>
      <c r="K19" s="700">
        <f>+'ANALIZA-STRUČNJAK 1'!J$32*$G$19</f>
        <v>0</v>
      </c>
      <c r="L19" s="700">
        <f>+'ANALIZA-STRUČNJAK 1'!K$32*$G$19</f>
        <v>0</v>
      </c>
      <c r="M19" s="700">
        <f>+'ANALIZA-STRUČNJAK 1'!J$47*G$19</f>
        <v>0</v>
      </c>
      <c r="N19" s="701">
        <f>+'ANALIZA-STRUČNJAK 1'!J$48*G$19</f>
        <v>0</v>
      </c>
      <c r="O19" s="702">
        <f>+J19+K19+L19+M19+N19</f>
        <v>0</v>
      </c>
      <c r="Q19" s="45">
        <v>1120000</v>
      </c>
    </row>
    <row r="20" spans="2:17" ht="18" customHeight="1">
      <c r="B20" s="703" t="s">
        <v>287</v>
      </c>
      <c r="C20" s="704" t="s">
        <v>281</v>
      </c>
      <c r="D20" s="705"/>
      <c r="E20" s="705"/>
      <c r="F20" s="639"/>
      <c r="G20" s="639"/>
      <c r="H20" s="639"/>
      <c r="I20" s="705"/>
      <c r="J20" s="639"/>
      <c r="K20" s="639"/>
      <c r="L20" s="639"/>
      <c r="M20" s="639"/>
      <c r="N20" s="706"/>
      <c r="O20" s="640"/>
    </row>
    <row r="21" spans="2:17" ht="18" customHeight="1">
      <c r="B21" s="707"/>
      <c r="C21" s="708"/>
      <c r="D21" s="700" t="s">
        <v>8</v>
      </c>
      <c r="E21" s="700">
        <f>+'TABELA ULAZNIH PODATAKA'!D85</f>
        <v>0</v>
      </c>
      <c r="F21" s="635">
        <f>+'TABELA ULAZNIH PODATAKA'!D84*'TABELA ULAZNIH PODATAKA'!D83</f>
        <v>0</v>
      </c>
      <c r="G21" s="635">
        <f>+E21*F21</f>
        <v>0</v>
      </c>
      <c r="H21" s="699">
        <f>+'ANALIZA-STRUČNJAK 2'!J$49</f>
        <v>0</v>
      </c>
      <c r="I21" s="699">
        <f>+H21*G21</f>
        <v>0</v>
      </c>
      <c r="J21" s="700">
        <f>+'ANALIZA-STRUČNJAK 2'!I$32*$G21</f>
        <v>0</v>
      </c>
      <c r="K21" s="700">
        <f>+'ANALIZA-STRUČNJAK 2'!J$32*$G21</f>
        <v>0</v>
      </c>
      <c r="L21" s="700">
        <f>+'ANALIZA-STRUČNJAK 2'!K$32*$G21</f>
        <v>0</v>
      </c>
      <c r="M21" s="700">
        <f>+'ANALIZA-STRUČNJAK 2'!J$47*G21</f>
        <v>0</v>
      </c>
      <c r="N21" s="701">
        <f>+'ANALIZA-STRUČNJAK 2'!J$48*G21</f>
        <v>0</v>
      </c>
      <c r="O21" s="702">
        <f>+J21+K21+L21+M21+N21</f>
        <v>0</v>
      </c>
      <c r="Q21" s="45">
        <v>1120000</v>
      </c>
    </row>
    <row r="22" spans="2:17" ht="18" customHeight="1">
      <c r="B22" s="703" t="s">
        <v>288</v>
      </c>
      <c r="C22" s="704" t="s">
        <v>282</v>
      </c>
      <c r="D22" s="705"/>
      <c r="E22" s="705"/>
      <c r="F22" s="709"/>
      <c r="G22" s="709"/>
      <c r="H22" s="639"/>
      <c r="I22" s="705"/>
      <c r="J22" s="705"/>
      <c r="K22" s="705"/>
      <c r="L22" s="705"/>
      <c r="M22" s="705"/>
      <c r="N22" s="710"/>
      <c r="O22" s="711"/>
    </row>
    <row r="23" spans="2:17" ht="18" customHeight="1">
      <c r="B23" s="707"/>
      <c r="C23" s="708"/>
      <c r="D23" s="700" t="s">
        <v>8</v>
      </c>
      <c r="E23" s="700">
        <f>+'TABELA ULAZNIH PODATAKA'!D93</f>
        <v>0</v>
      </c>
      <c r="F23" s="635">
        <f>+'TABELA ULAZNIH PODATAKA'!D91*'TABELA ULAZNIH PODATAKA'!D92</f>
        <v>0</v>
      </c>
      <c r="G23" s="635">
        <f>+E23*F23</f>
        <v>0</v>
      </c>
      <c r="H23" s="699">
        <f>+'ANALIZA-STRUČNJAK 3'!J$49</f>
        <v>0</v>
      </c>
      <c r="I23" s="699">
        <f>+H23*G23</f>
        <v>0</v>
      </c>
      <c r="J23" s="700">
        <f>+'ANALIZA-STRUČNJAK 3'!I$32*$G23</f>
        <v>0</v>
      </c>
      <c r="K23" s="700">
        <f>+'ANALIZA-STRUČNJAK 3'!J$32*$G23</f>
        <v>0</v>
      </c>
      <c r="L23" s="700">
        <f>+'ANALIZA-STRUČNJAK 3'!K$32*$G23</f>
        <v>0</v>
      </c>
      <c r="M23" s="700">
        <f>+'ANALIZA-STRUČNJAK 3'!J$47*G23</f>
        <v>0</v>
      </c>
      <c r="N23" s="701">
        <f>+'ANALIZA-STRUČNJAK 3'!J$48*G23</f>
        <v>0</v>
      </c>
      <c r="O23" s="702">
        <f>+J23+K23+L23+M23+N23</f>
        <v>0</v>
      </c>
      <c r="Q23" s="45">
        <v>280000</v>
      </c>
    </row>
    <row r="24" spans="2:17" ht="15.75" customHeight="1">
      <c r="B24" s="703" t="s">
        <v>289</v>
      </c>
      <c r="C24" s="704" t="s">
        <v>283</v>
      </c>
      <c r="D24" s="705"/>
      <c r="E24" s="705"/>
      <c r="F24" s="705"/>
      <c r="G24" s="705"/>
      <c r="H24" s="639"/>
      <c r="I24" s="705"/>
      <c r="J24" s="639"/>
      <c r="K24" s="639"/>
      <c r="L24" s="639"/>
      <c r="M24" s="639"/>
      <c r="N24" s="706"/>
      <c r="O24" s="640"/>
    </row>
    <row r="25" spans="2:17" ht="15.75" customHeight="1">
      <c r="B25" s="707"/>
      <c r="C25" s="708"/>
      <c r="D25" s="700" t="s">
        <v>8</v>
      </c>
      <c r="E25" s="700">
        <f>+'TABELA ULAZNIH PODATAKA'!D101</f>
        <v>0</v>
      </c>
      <c r="F25" s="635">
        <f>+'TABELA ULAZNIH PODATAKA'!D99*'TABELA ULAZNIH PODATAKA'!D100</f>
        <v>0</v>
      </c>
      <c r="G25" s="635">
        <f>+E25*F25</f>
        <v>0</v>
      </c>
      <c r="H25" s="699">
        <f>+'ANALIZA-STRUČNJAK 4'!J$49</f>
        <v>0</v>
      </c>
      <c r="I25" s="699">
        <f>+H25*G25</f>
        <v>0</v>
      </c>
      <c r="J25" s="700">
        <f>+'ANALIZA-STRUČNJAK 4'!I$32*$G25</f>
        <v>0</v>
      </c>
      <c r="K25" s="700">
        <f>+'ANALIZA-STRUČNJAK 4'!J$32*$G25</f>
        <v>0</v>
      </c>
      <c r="L25" s="700">
        <f>+'ANALIZA-STRUČNJAK 4'!K$32*$G25</f>
        <v>0</v>
      </c>
      <c r="M25" s="700">
        <f>+'ANALIZA-STRUČNJAK 4'!J$47*G25</f>
        <v>0</v>
      </c>
      <c r="N25" s="701">
        <f>+'ANALIZA-STRUČNJAK 4'!J$48*G25</f>
        <v>0</v>
      </c>
      <c r="O25" s="702">
        <f>+J25+K25+L25+M25+N25</f>
        <v>0</v>
      </c>
      <c r="Q25" s="45">
        <v>140000</v>
      </c>
    </row>
    <row r="26" spans="2:17" ht="15.75" customHeight="1">
      <c r="B26" s="703" t="s">
        <v>290</v>
      </c>
      <c r="C26" s="704" t="s">
        <v>284</v>
      </c>
      <c r="D26" s="705"/>
      <c r="E26" s="705"/>
      <c r="F26" s="639"/>
      <c r="G26" s="639"/>
      <c r="H26" s="639"/>
      <c r="I26" s="705"/>
      <c r="J26" s="639"/>
      <c r="K26" s="639"/>
      <c r="L26" s="639"/>
      <c r="M26" s="639"/>
      <c r="N26" s="706"/>
      <c r="O26" s="640"/>
    </row>
    <row r="27" spans="2:17" ht="15.75" customHeight="1">
      <c r="B27" s="707"/>
      <c r="C27" s="708"/>
      <c r="D27" s="700" t="s">
        <v>8</v>
      </c>
      <c r="E27" s="700">
        <f>+'TABELA ULAZNIH PODATAKA'!D109</f>
        <v>0</v>
      </c>
      <c r="F27" s="635">
        <f>+'TABELA ULAZNIH PODATAKA'!D107*'TABELA ULAZNIH PODATAKA'!D108</f>
        <v>0</v>
      </c>
      <c r="G27" s="635">
        <f>+E27*F27</f>
        <v>0</v>
      </c>
      <c r="H27" s="699">
        <f>+'ANALIZA-STRUČNJAK 5'!J$49</f>
        <v>0</v>
      </c>
      <c r="I27" s="699">
        <f>+H27*G27</f>
        <v>0</v>
      </c>
      <c r="J27" s="700">
        <f>+'ANALIZA-STRUČNJAK 5'!I$32*$G27</f>
        <v>0</v>
      </c>
      <c r="K27" s="700">
        <f>+'ANALIZA-STRUČNJAK 5'!J$32*$G27</f>
        <v>0</v>
      </c>
      <c r="L27" s="700">
        <f>+'ANALIZA-STRUČNJAK 5'!K$32*$G27</f>
        <v>0</v>
      </c>
      <c r="M27" s="700">
        <f>+'ANALIZA-STRUČNJAK 5'!J$47*G27</f>
        <v>0</v>
      </c>
      <c r="N27" s="701">
        <f>+'ANALIZA-STRUČNJAK 5'!J$48*G27</f>
        <v>0</v>
      </c>
      <c r="O27" s="702">
        <f>+J27+K27+L27+M27+N27</f>
        <v>0</v>
      </c>
      <c r="Q27" s="45">
        <v>525000</v>
      </c>
    </row>
    <row r="28" spans="2:17" ht="15.75" customHeight="1">
      <c r="B28" s="703" t="s">
        <v>369</v>
      </c>
      <c r="C28" s="704" t="s">
        <v>285</v>
      </c>
      <c r="D28" s="705"/>
      <c r="E28" s="705"/>
      <c r="F28" s="639"/>
      <c r="G28" s="639"/>
      <c r="H28" s="639"/>
      <c r="I28" s="705"/>
      <c r="J28" s="639"/>
      <c r="K28" s="639"/>
      <c r="L28" s="639"/>
      <c r="M28" s="639"/>
      <c r="N28" s="706"/>
      <c r="O28" s="640"/>
    </row>
    <row r="29" spans="2:17" ht="15.75" customHeight="1">
      <c r="B29" s="707"/>
      <c r="C29" s="708"/>
      <c r="D29" s="700" t="s">
        <v>8</v>
      </c>
      <c r="E29" s="700">
        <f>+'TABELA ULAZNIH PODATAKA'!D117</f>
        <v>0</v>
      </c>
      <c r="F29" s="635">
        <f>+'TABELA ULAZNIH PODATAKA'!D115*'TABELA ULAZNIH PODATAKA'!D116</f>
        <v>0</v>
      </c>
      <c r="G29" s="635">
        <f>+E29*F29</f>
        <v>0</v>
      </c>
      <c r="H29" s="699">
        <f>+'ANALIZA-STRUČNJAK 6'!J$49</f>
        <v>0</v>
      </c>
      <c r="I29" s="699">
        <f>+H29*G29</f>
        <v>0</v>
      </c>
      <c r="J29" s="700">
        <f>+'ANALIZA-STRUČNJAK 6'!I$32*$G29</f>
        <v>0</v>
      </c>
      <c r="K29" s="700">
        <f>+'ANALIZA-STRUČNJAK 6'!J$32*$G29</f>
        <v>0</v>
      </c>
      <c r="L29" s="700">
        <f>+'ANALIZA-STRUČNJAK 6'!K$32*$G29</f>
        <v>0</v>
      </c>
      <c r="M29" s="700">
        <f>+'ANALIZA-STRUČNJAK 6'!J$47*G29</f>
        <v>0</v>
      </c>
      <c r="N29" s="701">
        <f>+'ANALIZA-STRUČNJAK 6'!J$48*G29</f>
        <v>0</v>
      </c>
      <c r="O29" s="702">
        <f>+J29+K29+L29+M29+N29</f>
        <v>0</v>
      </c>
      <c r="Q29" s="45">
        <v>174000</v>
      </c>
    </row>
    <row r="30" spans="2:17" ht="15.75" customHeight="1">
      <c r="B30" s="703" t="s">
        <v>370</v>
      </c>
      <c r="C30" s="704" t="s">
        <v>286</v>
      </c>
      <c r="D30" s="705"/>
      <c r="E30" s="705"/>
      <c r="F30" s="705"/>
      <c r="G30" s="705"/>
      <c r="H30" s="705"/>
      <c r="I30" s="705"/>
      <c r="J30" s="705"/>
      <c r="K30" s="705"/>
      <c r="L30" s="705"/>
      <c r="M30" s="705"/>
      <c r="N30" s="710"/>
      <c r="O30" s="711"/>
    </row>
    <row r="31" spans="2:17" ht="15.75" customHeight="1">
      <c r="B31" s="712"/>
      <c r="C31" s="713"/>
      <c r="D31" s="714" t="s">
        <v>8</v>
      </c>
      <c r="E31" s="714">
        <f>+'TABELA ULAZNIH PODATAKA'!D125</f>
        <v>0</v>
      </c>
      <c r="F31" s="635">
        <f>+'TABELA ULAZNIH PODATAKA'!D123*'TABELA ULAZNIH PODATAKA'!D124</f>
        <v>0</v>
      </c>
      <c r="G31" s="700">
        <f>+E31*F31</f>
        <v>0</v>
      </c>
      <c r="H31" s="699">
        <f>+'ANALIZA-STRUČNJAK  7'!J$49</f>
        <v>0</v>
      </c>
      <c r="I31" s="699">
        <f>+H31*G31</f>
        <v>0</v>
      </c>
      <c r="J31" s="700">
        <f>+'ANALIZA-STRUČNJAK  7'!I$32*$G31</f>
        <v>0</v>
      </c>
      <c r="K31" s="700">
        <f>+'ANALIZA-STRUČNJAK  7'!J$32*$G31</f>
        <v>0</v>
      </c>
      <c r="L31" s="700">
        <f>+'ANALIZA-STRUČNJAK  7'!K$32*$G31</f>
        <v>0</v>
      </c>
      <c r="M31" s="700">
        <f>+'ANALIZA-STRUČNJAK  7'!J$47*G31</f>
        <v>0</v>
      </c>
      <c r="N31" s="701">
        <f>+'ANALIZA-STRUČNJAK  7'!J$48*G31</f>
        <v>0</v>
      </c>
      <c r="O31" s="702">
        <f>+J31+K31+L31+M31+N31</f>
        <v>0</v>
      </c>
    </row>
    <row r="32" spans="2:17" ht="15.75" customHeight="1">
      <c r="B32" s="703" t="s">
        <v>530</v>
      </c>
      <c r="C32" s="704" t="s">
        <v>529</v>
      </c>
      <c r="D32" s="705"/>
      <c r="E32" s="705"/>
      <c r="F32" s="705"/>
      <c r="G32" s="705"/>
      <c r="H32" s="705"/>
      <c r="I32" s="705"/>
      <c r="J32" s="705"/>
      <c r="K32" s="705"/>
      <c r="L32" s="705"/>
      <c r="M32" s="705"/>
      <c r="N32" s="710"/>
      <c r="O32" s="711"/>
    </row>
    <row r="33" spans="2:16" ht="15.75" customHeight="1">
      <c r="B33" s="707"/>
      <c r="C33" s="708"/>
      <c r="D33" s="700" t="s">
        <v>8</v>
      </c>
      <c r="E33" s="700">
        <f>+'TABELA ULAZNIH PODATAKA'!D133</f>
        <v>0</v>
      </c>
      <c r="F33" s="635">
        <f>+'TABELA ULAZNIH PODATAKA'!D132*'TABELA ULAZNIH PODATAKA'!D132</f>
        <v>0</v>
      </c>
      <c r="G33" s="714">
        <f>+E33*F33</f>
        <v>0</v>
      </c>
      <c r="H33" s="699">
        <f>+'ANALIZA-STRUČNJAK  8'!J$49</f>
        <v>0</v>
      </c>
      <c r="I33" s="699">
        <f>+H33*G33</f>
        <v>0</v>
      </c>
      <c r="J33" s="700">
        <f>+'ANALIZA-STRUČNJAK  8'!I$32*$G33</f>
        <v>0</v>
      </c>
      <c r="K33" s="700">
        <f>+'ANALIZA-STRUČNJAK  8'!J$32*$G33</f>
        <v>0</v>
      </c>
      <c r="L33" s="700">
        <f>+'ANALIZA-STRUČNJAK  8'!K$32*$G33</f>
        <v>0</v>
      </c>
      <c r="M33" s="700">
        <f>+'ANALIZA-STRUČNJAK  8'!J$47*G33</f>
        <v>0</v>
      </c>
      <c r="N33" s="715">
        <f>+'ANALIZA-STRUČNJAK  8'!J$48*G33</f>
        <v>0</v>
      </c>
      <c r="O33" s="716">
        <f>+J33+K33+L33+M33+N33</f>
        <v>0</v>
      </c>
    </row>
    <row r="34" spans="2:16" ht="15.75" customHeight="1">
      <c r="B34" s="703" t="s">
        <v>615</v>
      </c>
      <c r="C34" s="704" t="s">
        <v>588</v>
      </c>
      <c r="D34" s="705"/>
      <c r="E34" s="705"/>
      <c r="F34" s="705"/>
      <c r="G34" s="705"/>
      <c r="H34" s="705"/>
      <c r="I34" s="705"/>
      <c r="J34" s="705"/>
      <c r="K34" s="705"/>
      <c r="L34" s="705"/>
      <c r="M34" s="705"/>
      <c r="N34" s="710"/>
      <c r="O34" s="711"/>
    </row>
    <row r="35" spans="2:16" ht="15.75" customHeight="1">
      <c r="B35" s="707"/>
      <c r="C35" s="708"/>
      <c r="D35" s="700" t="s">
        <v>8</v>
      </c>
      <c r="E35" s="700">
        <f>+'TABELA ULAZNIH PODATAKA'!D141</f>
        <v>0</v>
      </c>
      <c r="F35" s="700">
        <f>+'TABELA ULAZNIH PODATAKA'!D139*'TABELA ULAZNIH PODATAKA'!D140</f>
        <v>0</v>
      </c>
      <c r="G35" s="714">
        <f>+E35*F35</f>
        <v>0</v>
      </c>
      <c r="H35" s="699">
        <f>+'TABELA ULAZNIH PODATAKA'!D142</f>
        <v>0</v>
      </c>
      <c r="I35" s="699">
        <f>+H35*G35</f>
        <v>0</v>
      </c>
      <c r="J35" s="700">
        <f>+$I35*'TABELA ULAZNIH PODATAKA'!$D143/('TABELA ULAZNIH PODATAKA'!$D$149+1)</f>
        <v>0</v>
      </c>
      <c r="K35" s="700">
        <f>+$I35*('TABELA ULAZNIH PODATAKA'!$D$144+'TABELA ULAZNIH PODATAKA'!$D$145)/('TABELA ULAZNIH PODATAKA'!$D149+1)</f>
        <v>0</v>
      </c>
      <c r="L35" s="700">
        <f>+$I35*'TABELA ULAZNIH PODATAKA'!$D$146/('TABELA ULAZNIH PODATAKA'!$D149+1)</f>
        <v>0</v>
      </c>
      <c r="M35" s="700">
        <f>+I35-J35-K35-L35-N35</f>
        <v>0</v>
      </c>
      <c r="N35" s="700">
        <f>I35*(1/(1+'TABELA ULAZNIH PODATAKA'!D149))*'TABELA ULAZNIH PODATAKA'!D$42+I35/('TABELA ULAZNIH PODATAKA'!D149+1)*'TABELA ULAZNIH PODATAKA'!D148</f>
        <v>0</v>
      </c>
      <c r="O35" s="702">
        <f>+J35+K35+L35+M35+N35</f>
        <v>0</v>
      </c>
    </row>
    <row r="36" spans="2:16" ht="15.75" customHeight="1">
      <c r="B36" s="703" t="s">
        <v>616</v>
      </c>
      <c r="C36" s="704" t="s">
        <v>589</v>
      </c>
      <c r="D36" s="705"/>
      <c r="E36" s="705"/>
      <c r="F36" s="705"/>
      <c r="G36" s="705"/>
      <c r="H36" s="705"/>
      <c r="I36" s="705"/>
      <c r="J36" s="705"/>
      <c r="K36" s="705"/>
      <c r="L36" s="705"/>
      <c r="M36" s="705"/>
      <c r="N36" s="710"/>
      <c r="O36" s="711"/>
    </row>
    <row r="37" spans="2:16" ht="15.75" customHeight="1">
      <c r="B37" s="707"/>
      <c r="C37" s="708"/>
      <c r="D37" s="700" t="s">
        <v>8</v>
      </c>
      <c r="E37" s="700">
        <f>+'TABELA ULAZNIH PODATAKA'!D152</f>
        <v>0</v>
      </c>
      <c r="F37" s="700">
        <f>+'TABELA ULAZNIH PODATAKA'!D150*'TABELA ULAZNIH PODATAKA'!D151</f>
        <v>0</v>
      </c>
      <c r="G37" s="714">
        <f>+E37*F37</f>
        <v>0</v>
      </c>
      <c r="H37" s="699">
        <f>+'TABELA ULAZNIH PODATAKA'!D153</f>
        <v>0</v>
      </c>
      <c r="I37" s="699">
        <f>+H37*G37</f>
        <v>0</v>
      </c>
      <c r="J37" s="700">
        <f>+$I37*'TABELA ULAZNIH PODATAKA'!$D154/('TABELA ULAZNIH PODATAKA'!$D$160+1)</f>
        <v>0</v>
      </c>
      <c r="K37" s="700">
        <f>+$I37*('TABELA ULAZNIH PODATAKA'!$D$155+'TABELA ULAZNIH PODATAKA'!$D$156)/('TABELA ULAZNIH PODATAKA'!$D160+1)</f>
        <v>0</v>
      </c>
      <c r="L37" s="700">
        <f>+$I37*'TABELA ULAZNIH PODATAKA'!$D$157/('TABELA ULAZNIH PODATAKA'!$D160+1)</f>
        <v>0</v>
      </c>
      <c r="M37" s="700">
        <f>+I37-J37-K37-L37-N37</f>
        <v>0</v>
      </c>
      <c r="N37" s="700">
        <f>I37*(1/(1+'TABELA ULAZNIH PODATAKA'!D160))*'TABELA ULAZNIH PODATAKA'!D$42+I37/('TABELA ULAZNIH PODATAKA'!D160+1)*'TABELA ULAZNIH PODATAKA'!D159</f>
        <v>0</v>
      </c>
      <c r="O37" s="702">
        <f>+J37+K37+L37+M37+N37</f>
        <v>0</v>
      </c>
    </row>
    <row r="38" spans="2:16" ht="15.75" customHeight="1">
      <c r="B38" s="703" t="s">
        <v>617</v>
      </c>
      <c r="C38" s="704" t="s">
        <v>590</v>
      </c>
      <c r="D38" s="705"/>
      <c r="E38" s="705"/>
      <c r="F38" s="705"/>
      <c r="G38" s="705"/>
      <c r="H38" s="705"/>
      <c r="I38" s="705"/>
      <c r="J38" s="705"/>
      <c r="K38" s="705"/>
      <c r="L38" s="705"/>
      <c r="M38" s="705"/>
      <c r="N38" s="710"/>
      <c r="O38" s="711"/>
    </row>
    <row r="39" spans="2:16" ht="15.75" customHeight="1">
      <c r="B39" s="707"/>
      <c r="C39" s="708"/>
      <c r="D39" s="700" t="s">
        <v>8</v>
      </c>
      <c r="E39" s="700">
        <f>+'TABELA ULAZNIH PODATAKA'!D163</f>
        <v>0</v>
      </c>
      <c r="F39" s="700">
        <f>+'TABELA ULAZNIH PODATAKA'!D161*'TABELA ULAZNIH PODATAKA'!D162</f>
        <v>0</v>
      </c>
      <c r="G39" s="714">
        <f>+E39*F39</f>
        <v>0</v>
      </c>
      <c r="H39" s="699">
        <f>+'TABELA ULAZNIH PODATAKA'!D164</f>
        <v>0</v>
      </c>
      <c r="I39" s="699">
        <f>+H39*G39</f>
        <v>0</v>
      </c>
      <c r="J39" s="700">
        <f>+$I39*'TABELA ULAZNIH PODATAKA'!$D165/('TABELA ULAZNIH PODATAKA'!$D$171+1)</f>
        <v>0</v>
      </c>
      <c r="K39" s="700">
        <f>+$I39*('TABELA ULAZNIH PODATAKA'!$D$166+'TABELA ULAZNIH PODATAKA'!$D$167)/('TABELA ULAZNIH PODATAKA'!$D171+1)</f>
        <v>0</v>
      </c>
      <c r="L39" s="700">
        <f>+$I39*'TABELA ULAZNIH PODATAKA'!$D$168/('TABELA ULAZNIH PODATAKA'!$D171+1)</f>
        <v>0</v>
      </c>
      <c r="M39" s="700">
        <f>+I39-J39-K39-L39-N39</f>
        <v>0</v>
      </c>
      <c r="N39" s="700">
        <f>I39*(1/(1+'TABELA ULAZNIH PODATAKA'!D171))*'TABELA ULAZNIH PODATAKA'!D$42+I39/('TABELA ULAZNIH PODATAKA'!D171+1)*'TABELA ULAZNIH PODATAKA'!D170</f>
        <v>0</v>
      </c>
      <c r="O39" s="702">
        <f>+J39+K39+L39+M39+N39</f>
        <v>0</v>
      </c>
    </row>
    <row r="40" spans="2:16" ht="15.75" customHeight="1">
      <c r="B40" s="703" t="s">
        <v>618</v>
      </c>
      <c r="C40" s="704" t="s">
        <v>591</v>
      </c>
      <c r="D40" s="705"/>
      <c r="E40" s="705"/>
      <c r="F40" s="705"/>
      <c r="G40" s="705"/>
      <c r="H40" s="705"/>
      <c r="I40" s="705"/>
      <c r="J40" s="705"/>
      <c r="K40" s="705"/>
      <c r="L40" s="705"/>
      <c r="M40" s="705"/>
      <c r="N40" s="710"/>
      <c r="O40" s="711"/>
    </row>
    <row r="41" spans="2:16" ht="15.75" customHeight="1" thickBot="1">
      <c r="B41" s="717"/>
      <c r="C41" s="718"/>
      <c r="D41" s="719" t="s">
        <v>8</v>
      </c>
      <c r="E41" s="719">
        <f>+'TABELA ULAZNIH PODATAKA'!D174</f>
        <v>0</v>
      </c>
      <c r="F41" s="719">
        <f>+'TABELA ULAZNIH PODATAKA'!D172*'TABELA ULAZNIH PODATAKA'!D173</f>
        <v>0</v>
      </c>
      <c r="G41" s="714">
        <f>+E41*F41</f>
        <v>0</v>
      </c>
      <c r="H41" s="699">
        <f>+'TABELA ULAZNIH PODATAKA'!D175</f>
        <v>0</v>
      </c>
      <c r="I41" s="699">
        <f>+H41*G41</f>
        <v>0</v>
      </c>
      <c r="J41" s="700">
        <f>+$I41*'TABELA ULAZNIH PODATAKA'!$D176/('TABELA ULAZNIH PODATAKA'!$D$182+1)</f>
        <v>0</v>
      </c>
      <c r="K41" s="700">
        <f>+$I41*('TABELA ULAZNIH PODATAKA'!$D$177+'TABELA ULAZNIH PODATAKA'!$D$178)/('TABELA ULAZNIH PODATAKA'!$D182+1)</f>
        <v>0</v>
      </c>
      <c r="L41" s="700">
        <f>+$I41*'TABELA ULAZNIH PODATAKA'!$D$179/('TABELA ULAZNIH PODATAKA'!$D182+1)</f>
        <v>0</v>
      </c>
      <c r="M41" s="700">
        <f>+I41-J41-K41-L41-N41</f>
        <v>0</v>
      </c>
      <c r="N41" s="715">
        <f>I41*(1/(1+'TABELA ULAZNIH PODATAKA'!D171))*'TABELA ULAZNIH PODATAKA'!D$42+I41/('TABELA ULAZNIH PODATAKA'!D171+1)*'TABELA ULAZNIH PODATAKA'!D170</f>
        <v>0</v>
      </c>
      <c r="O41" s="648">
        <f>+J41+K41+L41+M41+N41</f>
        <v>0</v>
      </c>
    </row>
    <row r="42" spans="2:16" ht="15.75" thickBot="1">
      <c r="B42" s="720"/>
      <c r="C42" s="721"/>
      <c r="D42" s="721"/>
      <c r="E42" s="721"/>
      <c r="F42" s="721" t="s">
        <v>101</v>
      </c>
      <c r="G42" s="722">
        <f>SUM(G19:G41)</f>
        <v>0</v>
      </c>
      <c r="H42" s="721"/>
      <c r="I42" s="723">
        <f>I19+I21+I23+I25+I27+I29+I31</f>
        <v>0</v>
      </c>
      <c r="J42" s="723">
        <f t="shared" ref="J42:O42" si="0">SUM(J19:J29)</f>
        <v>0</v>
      </c>
      <c r="K42" s="723">
        <f t="shared" si="0"/>
        <v>0</v>
      </c>
      <c r="L42" s="723">
        <f t="shared" si="0"/>
        <v>0</v>
      </c>
      <c r="M42" s="723">
        <f t="shared" si="0"/>
        <v>0</v>
      </c>
      <c r="N42" s="723">
        <f t="shared" si="0"/>
        <v>0</v>
      </c>
      <c r="O42" s="723">
        <f t="shared" si="0"/>
        <v>0</v>
      </c>
    </row>
    <row r="43" spans="2:16" ht="15.75" thickBot="1">
      <c r="B43" s="724"/>
      <c r="C43" s="724"/>
      <c r="D43" s="724"/>
      <c r="E43" s="724"/>
      <c r="F43" s="724"/>
      <c r="G43" s="725"/>
      <c r="H43" s="724"/>
      <c r="I43" s="726">
        <f>SUM(I19:I42)</f>
        <v>0</v>
      </c>
      <c r="J43" s="727"/>
      <c r="K43" s="727">
        <f>+IF('TABELA ULAZNIH PODATAKA'!D82&gt;0,'PRILOG 1-Analiza usluga-03-2020'!K19,0)+IF('TABELA ULAZNIH PODATAKA'!D90&gt;0,'PRILOG 1-Analiza usluga-03-2020'!K21,0)+IF('TABELA ULAZNIH PODATAKA'!D98&gt;0,'PRILOG 1-Analiza usluga-03-2020'!K23,0)+IF('TABELA ULAZNIH PODATAKA'!D106&gt;0,'PRILOG 1-Analiza usluga-03-2020'!K25,0)+IF('TABELA ULAZNIH PODATAKA'!D114&gt;0,'PRILOG 1-Analiza usluga-03-2020'!K27,0)+IF('TABELA ULAZNIH PODATAKA'!D122&gt;0,'PRILOG 1-Analiza usluga-03-2020'!K29,0)+IF('TABELA ULAZNIH PODATAKA'!D130&gt;0,'PRILOG 1-Analiza usluga-03-2020'!#REF!,0)+IF('TABELA ULAZNIH PODATAKA'!D138&gt;0,'PRILOG 1-Analiza usluga-03-2020'!#REF!,0)</f>
        <v>0</v>
      </c>
      <c r="L43" s="727"/>
      <c r="M43" s="726"/>
      <c r="N43" s="726"/>
      <c r="O43" s="726"/>
    </row>
    <row r="44" spans="2:16" ht="15.75" thickBot="1">
      <c r="B44" s="724"/>
      <c r="C44" s="724"/>
      <c r="D44" s="724"/>
      <c r="E44" s="724"/>
      <c r="F44" s="724"/>
      <c r="G44" s="725"/>
      <c r="H44" s="724"/>
      <c r="I44" s="726"/>
      <c r="J44" s="727"/>
      <c r="K44" s="727"/>
      <c r="L44" s="727"/>
      <c r="M44" s="726"/>
      <c r="N44" s="726"/>
      <c r="O44" s="726"/>
    </row>
    <row r="45" spans="2:16">
      <c r="B45" s="728"/>
      <c r="C45" s="728"/>
      <c r="D45" s="728"/>
      <c r="E45" s="728"/>
      <c r="F45" s="728"/>
      <c r="G45" s="728"/>
      <c r="H45" s="728"/>
      <c r="I45" s="729"/>
      <c r="J45" s="730"/>
      <c r="K45" s="730"/>
      <c r="L45" s="730"/>
      <c r="M45" s="729"/>
      <c r="N45" s="729"/>
      <c r="O45" s="729"/>
    </row>
    <row r="46" spans="2:16">
      <c r="B46" s="728"/>
      <c r="C46" s="728"/>
      <c r="D46" s="728"/>
      <c r="E46" s="728"/>
      <c r="F46" s="728"/>
      <c r="G46" s="728"/>
      <c r="H46" s="728"/>
      <c r="I46" s="729"/>
      <c r="J46" s="920" t="s">
        <v>380</v>
      </c>
      <c r="K46" s="921"/>
      <c r="L46" s="921"/>
      <c r="M46" s="921"/>
      <c r="N46" s="921"/>
      <c r="O46" s="921"/>
    </row>
    <row r="47" spans="2:16">
      <c r="E47" s="731"/>
      <c r="F47" s="732"/>
      <c r="G47" s="732"/>
      <c r="H47" s="732"/>
      <c r="I47" s="733"/>
      <c r="J47" s="734">
        <f>+IF(O42=0,0,J42/O42)</f>
        <v>0</v>
      </c>
      <c r="K47" s="734">
        <f>+IF(P42=0,0,K42/P42)</f>
        <v>0</v>
      </c>
      <c r="L47" s="734">
        <f>+IF(Q42=0,0,L42/Q42)</f>
        <v>0</v>
      </c>
      <c r="M47" s="734">
        <f>+IF(R42=0,0,M42/R42)</f>
        <v>0</v>
      </c>
      <c r="N47" s="734">
        <f>+IF(S42=0,0,N42/S42)</f>
        <v>0</v>
      </c>
      <c r="O47" s="734">
        <f>+J47+K47+L47+M47+N47</f>
        <v>0</v>
      </c>
      <c r="P47" s="494"/>
    </row>
    <row r="48" spans="2:16">
      <c r="E48" s="731"/>
      <c r="I48" s="735"/>
      <c r="J48" s="736" t="s">
        <v>309</v>
      </c>
      <c r="K48" s="737">
        <f>(+K43+(K42-K43)*'Podanaliza-auto-11-20'!G31)/IF(O42=0,1,O42)</f>
        <v>0</v>
      </c>
      <c r="L48" s="738"/>
      <c r="M48" s="738"/>
      <c r="N48" s="738"/>
      <c r="O48" s="736"/>
    </row>
    <row r="49" spans="5:15">
      <c r="E49" s="731"/>
      <c r="I49" s="35"/>
      <c r="J49" s="736" t="s">
        <v>71</v>
      </c>
      <c r="K49" s="737">
        <f>+((K42-K43)*'Podanaliza-auto-11-20'!G32)/IF(O42=0,1,O42)</f>
        <v>0</v>
      </c>
      <c r="L49" s="738"/>
      <c r="M49" s="738"/>
      <c r="N49" s="738"/>
      <c r="O49" s="736"/>
    </row>
  </sheetData>
  <sheetProtection algorithmName="SHA-512" hashValue="ERND5TMufRmrswyy0M+dpQj1t1EDvBfPj36kYbHFYOHzvJcXXksPRTYxumsdNZvCFyCGf3HnXIMbNRuCXm4fOQ==" saltValue="0CZaIdKHCnudUJg7X70Row==" spinCount="100000" sheet="1" formatCells="0" formatColumns="0" formatRows="0" insertColumns="0" insertRows="0" insertHyperlinks="0" deleteColumns="0" deleteRows="0" sort="0" autoFilter="0" pivotTables="0"/>
  <mergeCells count="28">
    <mergeCell ref="C8:I8"/>
    <mergeCell ref="B15:C16"/>
    <mergeCell ref="D15:D16"/>
    <mergeCell ref="F15:F16"/>
    <mergeCell ref="H15:H16"/>
    <mergeCell ref="C14:I14"/>
    <mergeCell ref="C11:I11"/>
    <mergeCell ref="E15:E16"/>
    <mergeCell ref="C12:I12"/>
    <mergeCell ref="C13:I13"/>
    <mergeCell ref="C10:I10"/>
    <mergeCell ref="G15:G16"/>
    <mergeCell ref="J46:O46"/>
    <mergeCell ref="B4:O4"/>
    <mergeCell ref="C2:O2"/>
    <mergeCell ref="C9:I9"/>
    <mergeCell ref="J9:O9"/>
    <mergeCell ref="C6:I6"/>
    <mergeCell ref="C7:I7"/>
    <mergeCell ref="J15:O15"/>
    <mergeCell ref="J6:O6"/>
    <mergeCell ref="J7:O7"/>
    <mergeCell ref="J8:O8"/>
    <mergeCell ref="J12:O12"/>
    <mergeCell ref="J13:O13"/>
    <mergeCell ref="J14:O14"/>
    <mergeCell ref="J10:O10"/>
    <mergeCell ref="J11:O11"/>
  </mergeCells>
  <pageMargins left="0.7" right="0.7" top="0.75" bottom="0.75" header="0.3" footer="0.3"/>
  <pageSetup paperSize="9" scale="58" orientation="landscape" horizontalDpi="300" verticalDpi="30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7"/>
  <sheetViews>
    <sheetView zoomScale="73" zoomScaleNormal="73" workbookViewId="0">
      <selection activeCell="E56" sqref="E56"/>
    </sheetView>
  </sheetViews>
  <sheetFormatPr defaultColWidth="8.85546875" defaultRowHeight="15"/>
  <cols>
    <col min="1" max="1" width="28.7109375" customWidth="1"/>
    <col min="2" max="3" width="15.7109375" customWidth="1"/>
    <col min="4" max="4" width="19.7109375" customWidth="1"/>
    <col min="5" max="6" width="15.7109375" customWidth="1"/>
    <col min="7" max="7" width="20.42578125" customWidth="1"/>
    <col min="10" max="10" width="20.140625" hidden="1" customWidth="1"/>
    <col min="11" max="11" width="16.140625" hidden="1" customWidth="1"/>
    <col min="12" max="12" width="15.42578125" hidden="1" customWidth="1"/>
    <col min="13" max="13" width="15.140625" hidden="1" customWidth="1"/>
    <col min="14" max="14" width="16" hidden="1" customWidth="1"/>
    <col min="15" max="15" width="12.28515625" hidden="1" customWidth="1"/>
  </cols>
  <sheetData>
    <row r="1" spans="1:15" ht="38.1" customHeight="1">
      <c r="A1" s="311"/>
      <c r="B1" s="311"/>
      <c r="C1" s="311"/>
      <c r="D1" s="311"/>
      <c r="E1" s="311"/>
      <c r="F1" s="311"/>
      <c r="G1" s="360" t="s">
        <v>442</v>
      </c>
    </row>
    <row r="2" spans="1:15" ht="20.25">
      <c r="A2" s="269"/>
      <c r="B2" s="269"/>
      <c r="C2" s="269"/>
      <c r="D2" s="269"/>
      <c r="E2" s="269"/>
      <c r="F2" s="269"/>
      <c r="G2" s="313"/>
    </row>
    <row r="3" spans="1:15" ht="21">
      <c r="A3" s="856" t="s">
        <v>381</v>
      </c>
      <c r="B3" s="941"/>
      <c r="C3" s="941"/>
      <c r="D3" s="941"/>
      <c r="E3" s="941"/>
      <c r="F3" s="941"/>
      <c r="G3" s="941"/>
      <c r="K3" s="67" t="s">
        <v>52</v>
      </c>
    </row>
    <row r="4" spans="1:15" ht="19.5" thickBot="1">
      <c r="A4" s="269"/>
      <c r="B4" s="269"/>
      <c r="C4" s="269"/>
      <c r="D4" s="269"/>
      <c r="E4" s="269"/>
      <c r="F4" s="269"/>
      <c r="G4" s="269"/>
      <c r="K4" s="68"/>
    </row>
    <row r="5" spans="1:15" ht="106.5" thickTop="1" thickBot="1">
      <c r="A5" s="316" t="s">
        <v>53</v>
      </c>
      <c r="B5" s="317" t="s">
        <v>425</v>
      </c>
      <c r="C5" s="318" t="s">
        <v>375</v>
      </c>
      <c r="D5" s="319" t="s">
        <v>438</v>
      </c>
      <c r="E5" s="317" t="s">
        <v>363</v>
      </c>
      <c r="F5" s="318" t="s">
        <v>426</v>
      </c>
      <c r="G5" s="319" t="s">
        <v>376</v>
      </c>
      <c r="J5" s="69" t="s">
        <v>53</v>
      </c>
      <c r="K5" s="70" t="s">
        <v>54</v>
      </c>
      <c r="L5" s="70" t="s">
        <v>55</v>
      </c>
      <c r="M5" s="70" t="s">
        <v>56</v>
      </c>
      <c r="N5" s="70" t="s">
        <v>57</v>
      </c>
      <c r="O5" s="71" t="s">
        <v>58</v>
      </c>
    </row>
    <row r="6" spans="1:15" ht="13.35" customHeight="1" thickTop="1" thickBot="1">
      <c r="A6" s="244">
        <v>1</v>
      </c>
      <c r="B6" s="245">
        <v>2</v>
      </c>
      <c r="C6" s="72">
        <v>3</v>
      </c>
      <c r="D6" s="246" t="s">
        <v>59</v>
      </c>
      <c r="E6" s="247">
        <v>5</v>
      </c>
      <c r="F6" s="73">
        <v>6</v>
      </c>
      <c r="G6" s="246" t="s">
        <v>292</v>
      </c>
      <c r="J6" s="74">
        <v>1</v>
      </c>
      <c r="K6" s="75">
        <v>2</v>
      </c>
      <c r="L6" s="75">
        <v>3</v>
      </c>
      <c r="M6" s="76" t="s">
        <v>60</v>
      </c>
      <c r="N6" s="75">
        <v>5</v>
      </c>
      <c r="O6" s="77" t="s">
        <v>61</v>
      </c>
    </row>
    <row r="7" spans="1:15" ht="15.75" thickTop="1">
      <c r="A7" s="482" t="s">
        <v>280</v>
      </c>
      <c r="B7" s="489">
        <f>+'PRILOG 1-Analiza usluga-03-2020'!H19</f>
        <v>0</v>
      </c>
      <c r="C7" s="481">
        <f>+'PRILOG 1-Analiza usluga-03-2020'!G19</f>
        <v>0</v>
      </c>
      <c r="D7" s="490">
        <f t="shared" ref="D7:D21" si="0">+B7*C7</f>
        <v>0</v>
      </c>
      <c r="E7" s="739"/>
      <c r="F7" s="740"/>
      <c r="G7" s="511"/>
      <c r="J7" s="78" t="s">
        <v>62</v>
      </c>
      <c r="K7" s="79">
        <f>+B7</f>
        <v>0</v>
      </c>
      <c r="L7" s="79">
        <f>+'[1]Analiza usluga-10-2021'!$F$16</f>
        <v>2009.5345141486853</v>
      </c>
      <c r="M7" s="80" t="e">
        <f>+L7/K7</f>
        <v>#DIV/0!</v>
      </c>
      <c r="N7" s="79">
        <f>+'[2]Analiza usluga-11-2022'!$F$16</f>
        <v>2330.5114131047949</v>
      </c>
      <c r="O7" s="81" t="e">
        <f>+N7/K7</f>
        <v>#DIV/0!</v>
      </c>
    </row>
    <row r="8" spans="1:15">
      <c r="A8" s="483" t="s">
        <v>281</v>
      </c>
      <c r="B8" s="491">
        <f>+'PRILOG 1-Analiza usluga-03-2020'!H21</f>
        <v>0</v>
      </c>
      <c r="C8" s="475">
        <f>+'PRILOG 1-Analiza usluga-03-2020'!G21</f>
        <v>0</v>
      </c>
      <c r="D8" s="314">
        <f t="shared" si="0"/>
        <v>0</v>
      </c>
      <c r="E8" s="741"/>
      <c r="F8" s="742"/>
      <c r="G8" s="512"/>
      <c r="J8" s="78"/>
      <c r="K8" s="79"/>
      <c r="L8" s="79"/>
      <c r="M8" s="80"/>
      <c r="N8" s="79"/>
      <c r="O8" s="81"/>
    </row>
    <row r="9" spans="1:15">
      <c r="A9" s="484" t="s">
        <v>282</v>
      </c>
      <c r="B9" s="492">
        <f>+'PRILOG 1-Analiza usluga-03-2020'!H23</f>
        <v>0</v>
      </c>
      <c r="C9" s="476">
        <f>+'PRILOG 1-Analiza usluga-03-2020'!G23</f>
        <v>0</v>
      </c>
      <c r="D9" s="315">
        <f t="shared" si="0"/>
        <v>0</v>
      </c>
      <c r="E9" s="741"/>
      <c r="F9" s="742"/>
      <c r="G9" s="315"/>
      <c r="J9" s="78"/>
      <c r="K9" s="79"/>
      <c r="L9" s="79"/>
      <c r="M9" s="80"/>
      <c r="N9" s="79"/>
      <c r="O9" s="81"/>
    </row>
    <row r="10" spans="1:15">
      <c r="A10" s="483" t="s">
        <v>283</v>
      </c>
      <c r="B10" s="491">
        <f>+'PRILOG 1-Analiza usluga-03-2020'!H25</f>
        <v>0</v>
      </c>
      <c r="C10" s="475">
        <f>+'PRILOG 1-Analiza usluga-03-2020'!G25</f>
        <v>0</v>
      </c>
      <c r="D10" s="314">
        <f t="shared" si="0"/>
        <v>0</v>
      </c>
      <c r="E10" s="741"/>
      <c r="F10" s="743"/>
      <c r="G10" s="314"/>
      <c r="J10" s="82" t="s">
        <v>63</v>
      </c>
      <c r="K10" s="83">
        <f>+B10</f>
        <v>0</v>
      </c>
      <c r="L10" s="83">
        <f>+'[1]Analiza usluga-10-2021'!$F$20</f>
        <v>1777.6907823531176</v>
      </c>
      <c r="M10" s="84" t="e">
        <f t="shared" ref="M10:M23" si="1">+L10/K10</f>
        <v>#DIV/0!</v>
      </c>
      <c r="N10" s="83">
        <f>+'[2]Analiza usluga-11-2022'!$F$20</f>
        <v>2041.9658150186706</v>
      </c>
      <c r="O10" s="85" t="e">
        <f t="shared" ref="O10:O23" si="2">+N10/K10</f>
        <v>#DIV/0!</v>
      </c>
    </row>
    <row r="11" spans="1:15">
      <c r="A11" s="484" t="s">
        <v>284</v>
      </c>
      <c r="B11" s="492">
        <f>+'PRILOG 1-Analiza usluga-03-2020'!H27</f>
        <v>0</v>
      </c>
      <c r="C11" s="476">
        <f>+'PRILOG 1-Analiza usluga-03-2020'!G27</f>
        <v>0</v>
      </c>
      <c r="D11" s="315">
        <f t="shared" si="0"/>
        <v>0</v>
      </c>
      <c r="E11" s="741"/>
      <c r="F11" s="742"/>
      <c r="G11" s="315"/>
      <c r="J11" s="78" t="s">
        <v>64</v>
      </c>
      <c r="K11" s="79">
        <f>+B11</f>
        <v>0</v>
      </c>
      <c r="L11" s="79">
        <f>+L7</f>
        <v>2009.5345141486853</v>
      </c>
      <c r="M11" s="80" t="e">
        <f t="shared" si="1"/>
        <v>#DIV/0!</v>
      </c>
      <c r="N11" s="79">
        <f>+N7</f>
        <v>2330.5114131047949</v>
      </c>
      <c r="O11" s="81" t="e">
        <f t="shared" si="2"/>
        <v>#DIV/0!</v>
      </c>
    </row>
    <row r="12" spans="1:15">
      <c r="A12" s="483" t="s">
        <v>285</v>
      </c>
      <c r="B12" s="491">
        <f>+'PRILOG 1-Analiza usluga-03-2020'!H29</f>
        <v>0</v>
      </c>
      <c r="C12" s="475">
        <f>+'PRILOG 1-Analiza usluga-03-2020'!G29</f>
        <v>0</v>
      </c>
      <c r="D12" s="314">
        <f t="shared" si="0"/>
        <v>0</v>
      </c>
      <c r="E12" s="741"/>
      <c r="F12" s="743"/>
      <c r="G12" s="314"/>
      <c r="J12" s="78" t="s">
        <v>362</v>
      </c>
      <c r="K12" s="79">
        <f>+B12</f>
        <v>0</v>
      </c>
      <c r="L12" s="79">
        <f>+L10</f>
        <v>1777.6907823531176</v>
      </c>
      <c r="M12" s="80" t="e">
        <f t="shared" si="1"/>
        <v>#DIV/0!</v>
      </c>
      <c r="N12" s="79" t="e">
        <f>+#REF!</f>
        <v>#REF!</v>
      </c>
      <c r="O12" s="81" t="e">
        <f t="shared" si="2"/>
        <v>#REF!</v>
      </c>
    </row>
    <row r="13" spans="1:15" hidden="1">
      <c r="A13" s="484" t="s">
        <v>286</v>
      </c>
      <c r="B13" s="491">
        <f>+'PRILOG 1-Analiza usluga-03-2020'!H31</f>
        <v>0</v>
      </c>
      <c r="C13" s="475">
        <f>+'PRILOG 1-Analiza usluga-03-2020'!G31</f>
        <v>0</v>
      </c>
      <c r="D13" s="314">
        <f t="shared" ref="D13" si="3">+B13*C13</f>
        <v>0</v>
      </c>
      <c r="E13" s="487">
        <v>0</v>
      </c>
      <c r="F13" s="477">
        <v>0</v>
      </c>
      <c r="G13" s="315">
        <f t="shared" ref="G13" si="4">E13*F13</f>
        <v>0</v>
      </c>
      <c r="J13" s="82" t="s">
        <v>361</v>
      </c>
      <c r="K13" s="83">
        <f>+B13</f>
        <v>0</v>
      </c>
      <c r="L13" s="83">
        <f>+L10</f>
        <v>1777.6907823531176</v>
      </c>
      <c r="M13" s="84" t="e">
        <f t="shared" si="1"/>
        <v>#DIV/0!</v>
      </c>
      <c r="N13" s="83" t="e">
        <f>+N12</f>
        <v>#REF!</v>
      </c>
      <c r="O13" s="85" t="e">
        <f t="shared" si="2"/>
        <v>#REF!</v>
      </c>
    </row>
    <row r="14" spans="1:15" hidden="1">
      <c r="A14" s="483" t="s">
        <v>550</v>
      </c>
      <c r="B14" s="491">
        <f>+'PRILOG 1-Analiza usluga-03-2020'!H33</f>
        <v>0</v>
      </c>
      <c r="C14" s="475">
        <f>+'PRILOG 1-Analiza usluga-03-2020'!G331</f>
        <v>0</v>
      </c>
      <c r="D14" s="314">
        <f t="shared" si="0"/>
        <v>0</v>
      </c>
      <c r="E14" s="486"/>
      <c r="F14" s="474"/>
      <c r="G14" s="314"/>
      <c r="J14" s="424"/>
      <c r="K14" s="425"/>
      <c r="L14" s="425"/>
      <c r="M14" s="426"/>
      <c r="N14" s="425"/>
      <c r="O14" s="427"/>
    </row>
    <row r="15" spans="1:15" hidden="1">
      <c r="A15" s="484" t="s">
        <v>587</v>
      </c>
      <c r="B15" s="492">
        <f>+'PRILOG 1-Analiza usluga-03-2020'!H32</f>
        <v>0</v>
      </c>
      <c r="C15" s="476">
        <f>+'PRILOG 1-Analiza usluga-03-2020'!G32</f>
        <v>0</v>
      </c>
      <c r="D15" s="315">
        <f t="shared" si="0"/>
        <v>0</v>
      </c>
      <c r="E15" s="487"/>
      <c r="F15" s="477"/>
      <c r="G15" s="315"/>
      <c r="J15" s="424"/>
      <c r="K15" s="425"/>
      <c r="L15" s="425"/>
      <c r="M15" s="426"/>
      <c r="N15" s="425"/>
      <c r="O15" s="427"/>
    </row>
    <row r="16" spans="1:15" hidden="1">
      <c r="A16" s="483" t="s">
        <v>587</v>
      </c>
      <c r="B16" s="491">
        <f>+'PRILOG 1-Analiza usluga-03-2020'!H33</f>
        <v>0</v>
      </c>
      <c r="C16" s="475">
        <f>+'PRILOG 1-Analiza usluga-03-2020'!G33</f>
        <v>0</v>
      </c>
      <c r="D16" s="314">
        <f t="shared" si="0"/>
        <v>0</v>
      </c>
      <c r="E16" s="486"/>
      <c r="F16" s="474"/>
      <c r="G16" s="314"/>
      <c r="J16" s="424"/>
      <c r="K16" s="425"/>
      <c r="L16" s="425"/>
      <c r="M16" s="426"/>
      <c r="N16" s="425"/>
      <c r="O16" s="427"/>
    </row>
    <row r="17" spans="1:15" hidden="1">
      <c r="A17" s="483" t="s">
        <v>587</v>
      </c>
      <c r="B17" s="491">
        <f>+'PRILOG 1-Analiza usluga-03-2020'!H34</f>
        <v>0</v>
      </c>
      <c r="C17" s="475">
        <f>+'PRILOG 1-Analiza usluga-03-2020'!G34</f>
        <v>0</v>
      </c>
      <c r="D17" s="314">
        <f t="shared" si="0"/>
        <v>0</v>
      </c>
      <c r="E17" s="486"/>
      <c r="F17" s="474"/>
      <c r="G17" s="314"/>
      <c r="J17" s="424"/>
      <c r="K17" s="425"/>
      <c r="L17" s="425"/>
      <c r="M17" s="426"/>
      <c r="N17" s="425"/>
      <c r="O17" s="427"/>
    </row>
    <row r="18" spans="1:15" hidden="1">
      <c r="A18" s="483" t="s">
        <v>608</v>
      </c>
      <c r="B18" s="491">
        <f>+'PRILOG 1-Analiza usluga-03-2020'!H35</f>
        <v>0</v>
      </c>
      <c r="C18" s="475">
        <f>+'PRILOG 1-Analiza usluga-03-2020'!G35</f>
        <v>0</v>
      </c>
      <c r="D18" s="314">
        <f t="shared" si="0"/>
        <v>0</v>
      </c>
      <c r="E18" s="486"/>
      <c r="F18" s="474"/>
      <c r="G18" s="314"/>
      <c r="J18" s="424"/>
      <c r="K18" s="425"/>
      <c r="L18" s="425"/>
      <c r="M18" s="426"/>
      <c r="N18" s="425"/>
      <c r="O18" s="427"/>
    </row>
    <row r="19" spans="1:15" hidden="1">
      <c r="A19" s="484" t="s">
        <v>609</v>
      </c>
      <c r="B19" s="492">
        <f>+'PRILOG 1-Analiza usluga-03-2020'!H36</f>
        <v>0</v>
      </c>
      <c r="C19" s="476">
        <f>+'PRILOG 1-Analiza usluga-03-2020'!G36</f>
        <v>0</v>
      </c>
      <c r="D19" s="315">
        <f t="shared" si="0"/>
        <v>0</v>
      </c>
      <c r="E19" s="487"/>
      <c r="F19" s="477"/>
      <c r="G19" s="315"/>
      <c r="J19" s="424"/>
      <c r="K19" s="425"/>
      <c r="L19" s="425"/>
      <c r="M19" s="426"/>
      <c r="N19" s="425"/>
      <c r="O19" s="427"/>
    </row>
    <row r="20" spans="1:15" hidden="1">
      <c r="A20" s="483" t="s">
        <v>610</v>
      </c>
      <c r="B20" s="491">
        <f>+'PRILOG 1-Analiza usluga-03-2020'!H37</f>
        <v>0</v>
      </c>
      <c r="C20" s="475">
        <f>+'PRILOG 1-Analiza usluga-03-2020'!G37</f>
        <v>0</v>
      </c>
      <c r="D20" s="314">
        <f t="shared" si="0"/>
        <v>0</v>
      </c>
      <c r="E20" s="486"/>
      <c r="F20" s="474"/>
      <c r="G20" s="314"/>
      <c r="J20" s="424"/>
      <c r="K20" s="425"/>
      <c r="L20" s="425"/>
      <c r="M20" s="426"/>
      <c r="N20" s="425"/>
      <c r="O20" s="427"/>
    </row>
    <row r="21" spans="1:15" ht="15.75" hidden="1" thickBot="1">
      <c r="A21" s="485" t="s">
        <v>611</v>
      </c>
      <c r="B21" s="493">
        <f>+'PRILOG 1-Analiza usluga-03-2020'!H38</f>
        <v>0</v>
      </c>
      <c r="C21" s="478">
        <f>+'PRILOG 1-Analiza usluga-03-2020'!G38</f>
        <v>0</v>
      </c>
      <c r="D21" s="480">
        <f t="shared" si="0"/>
        <v>0</v>
      </c>
      <c r="E21" s="488"/>
      <c r="F21" s="479"/>
      <c r="G21" s="480"/>
      <c r="J21" s="424"/>
      <c r="K21" s="425"/>
      <c r="L21" s="425"/>
      <c r="M21" s="426"/>
      <c r="N21" s="425"/>
      <c r="O21" s="427"/>
    </row>
    <row r="22" spans="1:15" ht="15.75" thickBot="1">
      <c r="A22" s="470" t="s">
        <v>65</v>
      </c>
      <c r="B22" s="471"/>
      <c r="C22" s="472"/>
      <c r="D22" s="473">
        <f>SUM(D7:D21)</f>
        <v>0</v>
      </c>
      <c r="E22" s="471"/>
      <c r="F22" s="472"/>
      <c r="G22" s="473">
        <f>+'TABELA ULAZNIH PODATAKA'!D60</f>
        <v>0</v>
      </c>
      <c r="J22" s="86" t="s">
        <v>66</v>
      </c>
      <c r="K22" s="87">
        <f>+'[3]Analiza usluga-02-2020'!$G$29</f>
        <v>2140994.6796160582</v>
      </c>
      <c r="L22" s="87">
        <f>+'[1]Analiza usluga-10-2021'!$G$28</f>
        <v>2231061.6615153803</v>
      </c>
      <c r="M22" s="88">
        <f t="shared" si="1"/>
        <v>1.0420678214461858</v>
      </c>
      <c r="N22" s="87">
        <f>+'[2]Analiza usluga-11-2022'!$G$28</f>
        <v>2576210.4309021477</v>
      </c>
      <c r="O22" s="89">
        <f t="shared" si="2"/>
        <v>1.2032773623539019</v>
      </c>
    </row>
    <row r="23" spans="1:15" ht="16.5" thickTop="1" thickBot="1">
      <c r="J23" s="90" t="s">
        <v>67</v>
      </c>
      <c r="K23" s="91">
        <v>1.0265</v>
      </c>
      <c r="L23" s="91">
        <v>1.0818000000000001</v>
      </c>
      <c r="M23" s="92">
        <f t="shared" si="1"/>
        <v>1.0538723818801754</v>
      </c>
      <c r="N23" s="91">
        <v>1.2219</v>
      </c>
      <c r="O23" s="93">
        <f t="shared" si="2"/>
        <v>1.1903555772040917</v>
      </c>
    </row>
    <row r="24" spans="1:15" ht="15.75" thickTop="1">
      <c r="A24" s="94" t="s">
        <v>433</v>
      </c>
    </row>
    <row r="25" spans="1:15">
      <c r="J25" s="94" t="s">
        <v>68</v>
      </c>
    </row>
    <row r="26" spans="1:15">
      <c r="G26" s="16"/>
      <c r="J26" s="94" t="s">
        <v>69</v>
      </c>
    </row>
    <row r="27" spans="1:15">
      <c r="J27" s="94" t="s">
        <v>70</v>
      </c>
    </row>
  </sheetData>
  <sheetProtection algorithmName="SHA-512" hashValue="zpcFyI5VJLyOBAfVAmHtHE0Vh0KEl9qF3yIAPeUHIsfIhDMa0z7Otnag3ZvaVbsJZ/D5aFDKZTTJDRhbWTa+Tg==" saltValue="4hC6BIGdRPdHtF/RlDSx+A==" spinCount="100000" sheet="1" formatCells="0" formatColumns="0" formatRows="0" insertColumns="0" insertRows="0" insertHyperlinks="0" deleteColumns="0" deleteRows="0" sort="0" autoFilter="0" pivotTables="0"/>
  <mergeCells count="1">
    <mergeCell ref="A3:G3"/>
  </mergeCells>
  <pageMargins left="0.7" right="0.7" top="0.75" bottom="0.75" header="0.3" footer="0.3"/>
  <pageSetup paperSize="9" scale="9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08E47-0CA0-4B91-AF38-AA8975C8C723}">
  <dimension ref="A2:F122"/>
  <sheetViews>
    <sheetView topLeftCell="A114" workbookViewId="0">
      <selection activeCell="G130" sqref="G130"/>
    </sheetView>
  </sheetViews>
  <sheetFormatPr defaultRowHeight="15"/>
  <cols>
    <col min="1" max="1" width="12.85546875" customWidth="1"/>
    <col min="2" max="2" width="21.42578125" hidden="1" customWidth="1"/>
    <col min="3" max="3" width="22" customWidth="1"/>
    <col min="4" max="4" width="18" customWidth="1"/>
    <col min="5" max="5" width="20.5703125" customWidth="1"/>
    <col min="6" max="6" width="17.140625" customWidth="1"/>
  </cols>
  <sheetData>
    <row r="2" spans="1:6">
      <c r="A2" s="428" t="s">
        <v>551</v>
      </c>
    </row>
    <row r="4" spans="1:6" s="435" customFormat="1" ht="66.75" customHeight="1">
      <c r="A4" s="429" t="s">
        <v>552</v>
      </c>
      <c r="B4" s="430" t="s">
        <v>323</v>
      </c>
      <c r="C4" s="431" t="s">
        <v>323</v>
      </c>
      <c r="D4" s="432" t="s">
        <v>334</v>
      </c>
      <c r="E4" s="433" t="s">
        <v>276</v>
      </c>
      <c r="F4" s="434" t="s">
        <v>340</v>
      </c>
    </row>
    <row r="5" spans="1:6">
      <c r="A5" s="429" t="s">
        <v>131</v>
      </c>
      <c r="B5" s="436">
        <v>1128</v>
      </c>
      <c r="C5" s="437">
        <f t="shared" ref="C5:C68" si="0">B5/1128*100</f>
        <v>100</v>
      </c>
      <c r="D5" s="438">
        <v>99</v>
      </c>
      <c r="E5" s="439">
        <v>81.7</v>
      </c>
      <c r="F5" s="440">
        <v>100.6</v>
      </c>
    </row>
    <row r="6" spans="1:6">
      <c r="A6" s="429" t="s">
        <v>132</v>
      </c>
      <c r="B6" s="436">
        <v>1117</v>
      </c>
      <c r="C6" s="441">
        <f t="shared" si="0"/>
        <v>99.024822695035468</v>
      </c>
      <c r="D6" s="442">
        <v>99</v>
      </c>
      <c r="E6" s="443">
        <v>93.3</v>
      </c>
      <c r="F6" s="440">
        <v>100.6</v>
      </c>
    </row>
    <row r="7" spans="1:6">
      <c r="A7" s="429" t="s">
        <v>133</v>
      </c>
      <c r="B7" s="436">
        <v>1129</v>
      </c>
      <c r="C7" s="441">
        <f t="shared" si="0"/>
        <v>100.08865248226951</v>
      </c>
      <c r="D7" s="442">
        <v>99</v>
      </c>
      <c r="E7" s="443">
        <v>102.8</v>
      </c>
      <c r="F7" s="440">
        <v>100.6</v>
      </c>
    </row>
    <row r="8" spans="1:6">
      <c r="A8" s="429" t="s">
        <v>134</v>
      </c>
      <c r="B8" s="436">
        <v>1136</v>
      </c>
      <c r="C8" s="441">
        <f t="shared" si="0"/>
        <v>100.70921985815602</v>
      </c>
      <c r="D8" s="442">
        <v>99</v>
      </c>
      <c r="E8" s="443">
        <v>98.5</v>
      </c>
      <c r="F8" s="440">
        <v>96.8</v>
      </c>
    </row>
    <row r="9" spans="1:6">
      <c r="A9" s="429" t="s">
        <v>135</v>
      </c>
      <c r="B9" s="436">
        <v>1223</v>
      </c>
      <c r="C9" s="441">
        <f t="shared" si="0"/>
        <v>108.42198581560282</v>
      </c>
      <c r="D9" s="442">
        <v>99</v>
      </c>
      <c r="E9" s="443">
        <v>106.1</v>
      </c>
      <c r="F9" s="440">
        <v>96.8</v>
      </c>
    </row>
    <row r="10" spans="1:6">
      <c r="A10" s="429" t="s">
        <v>136</v>
      </c>
      <c r="B10" s="436">
        <v>1164</v>
      </c>
      <c r="C10" s="441">
        <f t="shared" si="0"/>
        <v>103.19148936170212</v>
      </c>
      <c r="D10" s="442">
        <v>99</v>
      </c>
      <c r="E10" s="443">
        <v>105.8</v>
      </c>
      <c r="F10" s="440">
        <v>100.6</v>
      </c>
    </row>
    <row r="11" spans="1:6">
      <c r="A11" s="429" t="s">
        <v>137</v>
      </c>
      <c r="B11" s="436">
        <v>1152</v>
      </c>
      <c r="C11" s="441">
        <f t="shared" si="0"/>
        <v>102.12765957446808</v>
      </c>
      <c r="D11" s="442">
        <v>99</v>
      </c>
      <c r="E11" s="443">
        <v>100.8</v>
      </c>
      <c r="F11" s="440">
        <v>100.6</v>
      </c>
    </row>
    <row r="12" spans="1:6">
      <c r="A12" s="429" t="s">
        <v>138</v>
      </c>
      <c r="B12" s="436">
        <v>1131</v>
      </c>
      <c r="C12" s="441">
        <f t="shared" si="0"/>
        <v>100.2659574468085</v>
      </c>
      <c r="D12" s="442">
        <v>99</v>
      </c>
      <c r="E12" s="443">
        <v>90.2</v>
      </c>
      <c r="F12" s="440">
        <v>100.6</v>
      </c>
    </row>
    <row r="13" spans="1:6">
      <c r="A13" s="429" t="s">
        <v>139</v>
      </c>
      <c r="B13" s="436">
        <v>1138</v>
      </c>
      <c r="C13" s="441">
        <f t="shared" si="0"/>
        <v>100.88652482269505</v>
      </c>
      <c r="D13" s="442">
        <v>99</v>
      </c>
      <c r="E13" s="443">
        <v>85.3</v>
      </c>
      <c r="F13" s="440">
        <v>100.6</v>
      </c>
    </row>
    <row r="14" spans="1:6">
      <c r="A14" s="429" t="s">
        <v>140</v>
      </c>
      <c r="B14" s="436">
        <v>1144</v>
      </c>
      <c r="C14" s="441">
        <f t="shared" si="0"/>
        <v>101.41843971631207</v>
      </c>
      <c r="D14" s="442">
        <v>99</v>
      </c>
      <c r="E14" s="443">
        <v>86.3</v>
      </c>
      <c r="F14" s="440">
        <v>100.6</v>
      </c>
    </row>
    <row r="15" spans="1:6">
      <c r="A15" s="429" t="s">
        <v>141</v>
      </c>
      <c r="B15" s="436">
        <v>1169</v>
      </c>
      <c r="C15" s="441">
        <f t="shared" si="0"/>
        <v>103.63475177304964</v>
      </c>
      <c r="D15" s="442">
        <v>99</v>
      </c>
      <c r="E15" s="443">
        <v>84.9</v>
      </c>
      <c r="F15" s="440">
        <v>100.6</v>
      </c>
    </row>
    <row r="16" spans="1:6">
      <c r="A16" s="444" t="s">
        <v>142</v>
      </c>
      <c r="B16" s="436">
        <v>1144</v>
      </c>
      <c r="C16" s="441">
        <f t="shared" si="0"/>
        <v>101.41843971631207</v>
      </c>
      <c r="D16" s="442">
        <v>99</v>
      </c>
      <c r="E16" s="443">
        <v>75.400000000000006</v>
      </c>
      <c r="F16" s="440">
        <v>100.6</v>
      </c>
    </row>
    <row r="17" spans="1:6">
      <c r="A17" s="444" t="s">
        <v>143</v>
      </c>
      <c r="B17" s="445">
        <v>1169</v>
      </c>
      <c r="C17" s="441">
        <f t="shared" si="0"/>
        <v>103.63475177304964</v>
      </c>
      <c r="D17" s="442">
        <v>99</v>
      </c>
      <c r="E17" s="443">
        <v>67.400000000000006</v>
      </c>
      <c r="F17" s="440">
        <v>100.6</v>
      </c>
    </row>
    <row r="18" spans="1:6">
      <c r="A18" s="444" t="s">
        <v>144</v>
      </c>
      <c r="B18" s="445">
        <v>1145</v>
      </c>
      <c r="C18" s="441">
        <f t="shared" si="0"/>
        <v>101.50709219858156</v>
      </c>
      <c r="D18" s="442">
        <v>99</v>
      </c>
      <c r="E18" s="443">
        <v>62.1</v>
      </c>
      <c r="F18" s="440">
        <v>100.6</v>
      </c>
    </row>
    <row r="19" spans="1:6">
      <c r="A19" s="444" t="s">
        <v>145</v>
      </c>
      <c r="B19" s="445">
        <v>1169</v>
      </c>
      <c r="C19" s="441">
        <f t="shared" si="0"/>
        <v>103.63475177304964</v>
      </c>
      <c r="D19" s="442">
        <v>99</v>
      </c>
      <c r="E19" s="443">
        <v>71</v>
      </c>
      <c r="F19" s="440">
        <v>100.6</v>
      </c>
    </row>
    <row r="20" spans="1:6">
      <c r="A20" s="444" t="s">
        <v>146</v>
      </c>
      <c r="B20" s="445">
        <v>1147</v>
      </c>
      <c r="C20" s="441">
        <f t="shared" si="0"/>
        <v>101.68439716312056</v>
      </c>
      <c r="D20" s="442">
        <v>99</v>
      </c>
      <c r="E20" s="443">
        <v>66.8</v>
      </c>
      <c r="F20" s="440">
        <v>100.6</v>
      </c>
    </row>
    <row r="21" spans="1:6">
      <c r="A21" s="444" t="s">
        <v>147</v>
      </c>
      <c r="B21" s="445">
        <v>1246</v>
      </c>
      <c r="C21" s="441">
        <f t="shared" si="0"/>
        <v>110.46099290780143</v>
      </c>
      <c r="D21" s="442">
        <v>99</v>
      </c>
      <c r="E21" s="443">
        <v>74.099999999999994</v>
      </c>
      <c r="F21" s="440">
        <v>100.6</v>
      </c>
    </row>
    <row r="22" spans="1:6">
      <c r="A22" s="444" t="s">
        <v>148</v>
      </c>
      <c r="B22" s="445">
        <v>1170</v>
      </c>
      <c r="C22" s="441">
        <f t="shared" si="0"/>
        <v>103.72340425531914</v>
      </c>
      <c r="D22" s="442">
        <v>99</v>
      </c>
      <c r="E22" s="443">
        <v>81</v>
      </c>
      <c r="F22" s="440">
        <v>100.6</v>
      </c>
    </row>
    <row r="23" spans="1:6">
      <c r="A23" s="444" t="s">
        <v>149</v>
      </c>
      <c r="B23" s="445">
        <v>1152</v>
      </c>
      <c r="C23" s="441">
        <f t="shared" si="0"/>
        <v>102.12765957446808</v>
      </c>
      <c r="D23" s="442">
        <v>99</v>
      </c>
      <c r="E23" s="443">
        <v>76.5</v>
      </c>
      <c r="F23" s="440">
        <v>100.6</v>
      </c>
    </row>
    <row r="24" spans="1:6">
      <c r="A24" s="444" t="s">
        <v>150</v>
      </c>
      <c r="B24" s="445">
        <v>1150</v>
      </c>
      <c r="C24" s="441">
        <f t="shared" si="0"/>
        <v>101.95035460992908</v>
      </c>
      <c r="D24" s="442">
        <v>99</v>
      </c>
      <c r="E24" s="443">
        <v>71.099999999999994</v>
      </c>
      <c r="F24" s="440">
        <v>100.6</v>
      </c>
    </row>
    <row r="25" spans="1:6">
      <c r="A25" s="444" t="s">
        <v>151</v>
      </c>
      <c r="B25" s="445">
        <v>1144</v>
      </c>
      <c r="C25" s="441">
        <f t="shared" si="0"/>
        <v>101.41843971631207</v>
      </c>
      <c r="D25" s="442">
        <v>99</v>
      </c>
      <c r="E25" s="443">
        <v>78.7</v>
      </c>
      <c r="F25" s="440">
        <v>100.6</v>
      </c>
    </row>
    <row r="26" spans="1:6">
      <c r="A26" s="444" t="s">
        <v>152</v>
      </c>
      <c r="B26" s="445">
        <v>1158</v>
      </c>
      <c r="C26" s="441">
        <f t="shared" si="0"/>
        <v>102.65957446808511</v>
      </c>
      <c r="D26" s="442">
        <v>99</v>
      </c>
      <c r="E26" s="443">
        <v>84.6</v>
      </c>
      <c r="F26" s="440">
        <v>100.6</v>
      </c>
    </row>
    <row r="27" spans="1:6">
      <c r="A27" s="444" t="s">
        <v>153</v>
      </c>
      <c r="B27" s="445">
        <v>1184</v>
      </c>
      <c r="C27" s="441">
        <f t="shared" si="0"/>
        <v>104.9645390070922</v>
      </c>
      <c r="D27" s="442">
        <v>99</v>
      </c>
      <c r="E27" s="443">
        <v>78.7</v>
      </c>
      <c r="F27" s="440">
        <v>100.6</v>
      </c>
    </row>
    <row r="28" spans="1:6">
      <c r="A28" s="444" t="s">
        <v>154</v>
      </c>
      <c r="B28" s="445">
        <v>1192</v>
      </c>
      <c r="C28" s="441">
        <f t="shared" si="0"/>
        <v>105.67375886524823</v>
      </c>
      <c r="D28" s="442">
        <v>99</v>
      </c>
      <c r="E28" s="443">
        <v>89.5</v>
      </c>
      <c r="F28" s="440">
        <v>100.6</v>
      </c>
    </row>
    <row r="29" spans="1:6">
      <c r="A29" s="444" t="s">
        <v>155</v>
      </c>
      <c r="B29" s="445">
        <v>1179</v>
      </c>
      <c r="C29" s="441">
        <f t="shared" si="0"/>
        <v>104.52127659574468</v>
      </c>
      <c r="D29" s="442">
        <v>99</v>
      </c>
      <c r="E29" s="443">
        <v>95.7</v>
      </c>
      <c r="F29" s="440">
        <v>100.6</v>
      </c>
    </row>
    <row r="30" spans="1:6">
      <c r="A30" s="444" t="s">
        <v>156</v>
      </c>
      <c r="B30" s="445">
        <v>1186</v>
      </c>
      <c r="C30" s="441">
        <f t="shared" si="0"/>
        <v>105.1418439716312</v>
      </c>
      <c r="D30" s="442">
        <v>99</v>
      </c>
      <c r="E30" s="443">
        <v>95.1</v>
      </c>
      <c r="F30" s="440">
        <v>100.6</v>
      </c>
    </row>
    <row r="31" spans="1:6">
      <c r="A31" s="444" t="s">
        <v>157</v>
      </c>
      <c r="B31" s="445">
        <v>1213</v>
      </c>
      <c r="C31" s="441">
        <f t="shared" si="0"/>
        <v>107.5354609929078</v>
      </c>
      <c r="D31" s="442">
        <v>99</v>
      </c>
      <c r="E31" s="443">
        <v>89</v>
      </c>
      <c r="F31" s="440">
        <v>100.6</v>
      </c>
    </row>
    <row r="32" spans="1:6">
      <c r="A32" s="444" t="s">
        <v>158</v>
      </c>
      <c r="B32" s="445">
        <v>1197</v>
      </c>
      <c r="C32" s="441">
        <f t="shared" si="0"/>
        <v>106.11702127659575</v>
      </c>
      <c r="D32" s="442">
        <v>99</v>
      </c>
      <c r="E32" s="443">
        <v>92.6</v>
      </c>
      <c r="F32" s="440">
        <v>100.6</v>
      </c>
    </row>
    <row r="33" spans="1:6">
      <c r="A33" s="444" t="s">
        <v>159</v>
      </c>
      <c r="B33" s="445">
        <v>1314</v>
      </c>
      <c r="C33" s="441">
        <f t="shared" si="0"/>
        <v>116.48936170212767</v>
      </c>
      <c r="D33" s="442">
        <v>99</v>
      </c>
      <c r="E33" s="443">
        <v>83.5</v>
      </c>
      <c r="F33" s="440">
        <v>100.6</v>
      </c>
    </row>
    <row r="34" spans="1:6">
      <c r="A34" s="444" t="s">
        <v>160</v>
      </c>
      <c r="B34" s="445">
        <v>1226</v>
      </c>
      <c r="C34" s="441">
        <f t="shared" si="0"/>
        <v>108.68794326241135</v>
      </c>
      <c r="D34" s="442">
        <v>99</v>
      </c>
      <c r="E34" s="443">
        <v>78.400000000000006</v>
      </c>
      <c r="F34" s="440">
        <v>100.6</v>
      </c>
    </row>
    <row r="35" spans="1:6">
      <c r="A35" s="444" t="s">
        <v>161</v>
      </c>
      <c r="B35" s="445">
        <v>1216</v>
      </c>
      <c r="C35" s="441">
        <f t="shared" si="0"/>
        <v>107.80141843971631</v>
      </c>
      <c r="D35" s="442">
        <v>99</v>
      </c>
      <c r="E35" s="443">
        <v>79.3</v>
      </c>
      <c r="F35" s="440">
        <v>100.6</v>
      </c>
    </row>
    <row r="36" spans="1:6">
      <c r="A36" s="444" t="s">
        <v>162</v>
      </c>
      <c r="B36" s="445">
        <v>1213</v>
      </c>
      <c r="C36" s="441">
        <f t="shared" si="0"/>
        <v>107.5354609929078</v>
      </c>
      <c r="D36" s="442">
        <v>99</v>
      </c>
      <c r="E36" s="443">
        <v>83.2</v>
      </c>
      <c r="F36" s="440">
        <v>100.6</v>
      </c>
    </row>
    <row r="37" spans="1:6">
      <c r="A37" s="444" t="s">
        <v>163</v>
      </c>
      <c r="B37" s="445">
        <v>1211</v>
      </c>
      <c r="C37" s="441">
        <f t="shared" si="0"/>
        <v>107.3581560283688</v>
      </c>
      <c r="D37" s="442">
        <v>99</v>
      </c>
      <c r="E37" s="443">
        <v>87.7</v>
      </c>
      <c r="F37" s="440">
        <v>100.6</v>
      </c>
    </row>
    <row r="38" spans="1:6">
      <c r="A38" s="444" t="s">
        <v>164</v>
      </c>
      <c r="B38" s="445">
        <v>1223</v>
      </c>
      <c r="C38" s="441">
        <f t="shared" si="0"/>
        <v>108.42198581560282</v>
      </c>
      <c r="D38" s="442">
        <v>99</v>
      </c>
      <c r="E38" s="443">
        <v>88.3</v>
      </c>
      <c r="F38" s="440">
        <v>102.7</v>
      </c>
    </row>
    <row r="39" spans="1:6">
      <c r="A39" s="444" t="s">
        <v>165</v>
      </c>
      <c r="B39" s="445">
        <v>1255</v>
      </c>
      <c r="C39" s="441">
        <f t="shared" si="0"/>
        <v>111.25886524822694</v>
      </c>
      <c r="D39" s="442">
        <v>99</v>
      </c>
      <c r="E39" s="443">
        <v>97</v>
      </c>
      <c r="F39" s="440">
        <v>102.7</v>
      </c>
    </row>
    <row r="40" spans="1:6">
      <c r="A40" s="444" t="s">
        <v>166</v>
      </c>
      <c r="B40" s="445">
        <v>1211</v>
      </c>
      <c r="C40" s="441">
        <f t="shared" si="0"/>
        <v>107.3581560283688</v>
      </c>
      <c r="D40" s="442">
        <v>99</v>
      </c>
      <c r="E40" s="443">
        <v>94</v>
      </c>
      <c r="F40" s="440">
        <v>102.7</v>
      </c>
    </row>
    <row r="41" spans="1:6">
      <c r="A41" s="444" t="s">
        <v>167</v>
      </c>
      <c r="B41" s="445">
        <v>1264</v>
      </c>
      <c r="C41" s="441">
        <f t="shared" si="0"/>
        <v>112.05673758865248</v>
      </c>
      <c r="D41" s="442">
        <v>99</v>
      </c>
      <c r="E41" s="443">
        <v>98.8</v>
      </c>
      <c r="F41" s="440">
        <v>102.7</v>
      </c>
    </row>
    <row r="42" spans="1:6">
      <c r="A42" s="444" t="s">
        <v>168</v>
      </c>
      <c r="B42" s="445">
        <v>1262</v>
      </c>
      <c r="C42" s="441">
        <f t="shared" si="0"/>
        <v>111.87943262411349</v>
      </c>
      <c r="D42" s="442">
        <v>99</v>
      </c>
      <c r="E42" s="443">
        <v>90.5</v>
      </c>
      <c r="F42" s="440">
        <v>102.7</v>
      </c>
    </row>
    <row r="43" spans="1:6">
      <c r="A43" s="444" t="s">
        <v>169</v>
      </c>
      <c r="B43" s="445">
        <v>1277</v>
      </c>
      <c r="C43" s="441">
        <f t="shared" si="0"/>
        <v>113.20921985815602</v>
      </c>
      <c r="D43" s="442">
        <v>99</v>
      </c>
      <c r="E43" s="443">
        <v>91.7</v>
      </c>
      <c r="F43" s="440">
        <v>102.7</v>
      </c>
    </row>
    <row r="44" spans="1:6">
      <c r="A44" s="444" t="s">
        <v>170</v>
      </c>
      <c r="B44" s="445">
        <v>1291</v>
      </c>
      <c r="C44" s="441">
        <f t="shared" si="0"/>
        <v>114.45035460992908</v>
      </c>
      <c r="D44" s="442">
        <v>99</v>
      </c>
      <c r="E44" s="443">
        <v>98.9</v>
      </c>
      <c r="F44" s="440">
        <v>103.8</v>
      </c>
    </row>
    <row r="45" spans="1:6">
      <c r="A45" s="444" t="s">
        <v>171</v>
      </c>
      <c r="B45" s="445">
        <v>1413</v>
      </c>
      <c r="C45" s="441">
        <f t="shared" si="0"/>
        <v>125.2659574468085</v>
      </c>
      <c r="D45" s="442">
        <v>99</v>
      </c>
      <c r="E45" s="443">
        <v>108.9</v>
      </c>
      <c r="F45" s="440">
        <v>103.8</v>
      </c>
    </row>
    <row r="46" spans="1:6">
      <c r="A46" s="444" t="s">
        <v>172</v>
      </c>
      <c r="B46" s="445">
        <v>1303</v>
      </c>
      <c r="C46" s="441">
        <f t="shared" si="0"/>
        <v>115.51418439716312</v>
      </c>
      <c r="D46" s="442">
        <v>99</v>
      </c>
      <c r="E46" s="443">
        <v>108.7</v>
      </c>
      <c r="F46" s="440">
        <v>103.8</v>
      </c>
    </row>
    <row r="47" spans="1:6">
      <c r="A47" s="444" t="s">
        <v>173</v>
      </c>
      <c r="B47" s="445">
        <v>1299</v>
      </c>
      <c r="C47" s="441">
        <f t="shared" si="0"/>
        <v>115.15957446808511</v>
      </c>
      <c r="D47" s="442">
        <v>99</v>
      </c>
      <c r="E47" s="443">
        <v>108.8</v>
      </c>
      <c r="F47" s="440">
        <v>103.8</v>
      </c>
    </row>
    <row r="48" spans="1:6">
      <c r="A48" s="444" t="s">
        <v>174</v>
      </c>
      <c r="B48" s="445">
        <v>1291</v>
      </c>
      <c r="C48" s="441">
        <f t="shared" si="0"/>
        <v>114.45035460992908</v>
      </c>
      <c r="D48" s="442">
        <v>99</v>
      </c>
      <c r="E48" s="443">
        <v>110</v>
      </c>
      <c r="F48" s="440">
        <v>103.8</v>
      </c>
    </row>
    <row r="49" spans="1:6">
      <c r="A49" s="444" t="s">
        <v>175</v>
      </c>
      <c r="B49" s="445">
        <v>1276</v>
      </c>
      <c r="C49" s="441">
        <f t="shared" si="0"/>
        <v>113.12056737588651</v>
      </c>
      <c r="D49" s="442">
        <v>99</v>
      </c>
      <c r="E49" s="443">
        <v>113.9</v>
      </c>
      <c r="F49" s="440">
        <v>103.8</v>
      </c>
    </row>
    <row r="50" spans="1:6">
      <c r="A50" s="444" t="s">
        <v>176</v>
      </c>
      <c r="B50" s="445">
        <v>1298</v>
      </c>
      <c r="C50" s="441">
        <f t="shared" si="0"/>
        <v>115.07092198581562</v>
      </c>
      <c r="D50" s="442">
        <v>99</v>
      </c>
      <c r="E50" s="443">
        <v>118.9</v>
      </c>
      <c r="F50" s="440">
        <v>103.8</v>
      </c>
    </row>
    <row r="51" spans="1:6">
      <c r="A51" s="444" t="s">
        <v>177</v>
      </c>
      <c r="B51" s="445">
        <v>1293</v>
      </c>
      <c r="C51" s="441">
        <f t="shared" si="0"/>
        <v>114.62765957446808</v>
      </c>
      <c r="D51" s="442">
        <v>99</v>
      </c>
      <c r="E51" s="443">
        <v>107.4</v>
      </c>
      <c r="F51" s="440">
        <v>103.8</v>
      </c>
    </row>
    <row r="52" spans="1:6">
      <c r="A52" s="444" t="s">
        <v>178</v>
      </c>
      <c r="B52" s="445">
        <v>1282</v>
      </c>
      <c r="C52" s="441">
        <f t="shared" si="0"/>
        <v>113.65248226950355</v>
      </c>
      <c r="D52" s="442">
        <v>99</v>
      </c>
      <c r="E52" s="443">
        <v>94.9</v>
      </c>
      <c r="F52" s="440">
        <v>103.8</v>
      </c>
    </row>
    <row r="53" spans="1:6">
      <c r="A53" s="444" t="s">
        <v>179</v>
      </c>
      <c r="B53" s="445">
        <v>1316</v>
      </c>
      <c r="C53" s="441">
        <f t="shared" si="0"/>
        <v>116.66666666666667</v>
      </c>
      <c r="D53" s="442">
        <v>99.1</v>
      </c>
      <c r="E53" s="443">
        <v>94.4</v>
      </c>
      <c r="F53" s="440">
        <v>103.8</v>
      </c>
    </row>
    <row r="54" spans="1:6">
      <c r="A54" s="444" t="s">
        <v>180</v>
      </c>
      <c r="B54" s="445">
        <v>1317</v>
      </c>
      <c r="C54" s="441">
        <f t="shared" si="0"/>
        <v>116.75531914893618</v>
      </c>
      <c r="D54" s="442">
        <v>99.1</v>
      </c>
      <c r="E54" s="443">
        <v>96.7</v>
      </c>
      <c r="F54" s="440">
        <v>103.8</v>
      </c>
    </row>
    <row r="55" spans="1:6">
      <c r="A55" s="444" t="s">
        <v>181</v>
      </c>
      <c r="B55" s="445">
        <v>1322</v>
      </c>
      <c r="C55" s="441">
        <f t="shared" si="0"/>
        <v>117.19858156028369</v>
      </c>
      <c r="D55" s="442">
        <v>99.1</v>
      </c>
      <c r="E55" s="443">
        <v>104.3</v>
      </c>
      <c r="F55" s="440">
        <v>103.8</v>
      </c>
    </row>
    <row r="56" spans="1:6">
      <c r="A56" s="444" t="s">
        <v>182</v>
      </c>
      <c r="B56" s="445">
        <v>1338</v>
      </c>
      <c r="C56" s="441">
        <f t="shared" si="0"/>
        <v>118.61702127659575</v>
      </c>
      <c r="D56" s="442">
        <v>100</v>
      </c>
      <c r="E56" s="443">
        <v>109.2</v>
      </c>
      <c r="F56" s="440">
        <v>103.8</v>
      </c>
    </row>
    <row r="57" spans="1:6">
      <c r="A57" s="444" t="s">
        <v>183</v>
      </c>
      <c r="B57" s="445">
        <v>1451</v>
      </c>
      <c r="C57" s="441">
        <f t="shared" si="0"/>
        <v>128.63475177304963</v>
      </c>
      <c r="D57" s="442">
        <v>100</v>
      </c>
      <c r="E57" s="443">
        <v>109.3</v>
      </c>
      <c r="F57" s="440">
        <v>103.8</v>
      </c>
    </row>
    <row r="58" spans="1:6">
      <c r="A58" s="444" t="s">
        <v>184</v>
      </c>
      <c r="B58" s="445">
        <v>1336</v>
      </c>
      <c r="C58" s="441">
        <f t="shared" si="0"/>
        <v>118.43971631205675</v>
      </c>
      <c r="D58" s="442">
        <v>100</v>
      </c>
      <c r="E58" s="443">
        <v>98.4</v>
      </c>
      <c r="F58" s="440">
        <v>103.8</v>
      </c>
    </row>
    <row r="59" spans="1:6">
      <c r="A59" s="444" t="s">
        <v>185</v>
      </c>
      <c r="B59" s="445">
        <v>1353</v>
      </c>
      <c r="C59" s="441">
        <f t="shared" si="0"/>
        <v>119.94680851063831</v>
      </c>
      <c r="D59" s="442">
        <v>100</v>
      </c>
      <c r="E59" s="443">
        <v>102.7</v>
      </c>
      <c r="F59" s="440">
        <v>103.8</v>
      </c>
    </row>
    <row r="60" spans="1:6">
      <c r="A60" s="444" t="s">
        <v>186</v>
      </c>
      <c r="B60" s="445">
        <v>1330</v>
      </c>
      <c r="C60" s="441">
        <f t="shared" si="0"/>
        <v>117.9078014184397</v>
      </c>
      <c r="D60" s="442">
        <v>100</v>
      </c>
      <c r="E60" s="443">
        <v>99.4</v>
      </c>
      <c r="F60" s="440">
        <v>103.8</v>
      </c>
    </row>
    <row r="61" spans="1:6">
      <c r="A61" s="444" t="s">
        <v>187</v>
      </c>
      <c r="B61" s="445">
        <v>1327</v>
      </c>
      <c r="C61" s="441">
        <f t="shared" si="0"/>
        <v>117.6418439716312</v>
      </c>
      <c r="D61" s="442">
        <v>100</v>
      </c>
      <c r="E61" s="443">
        <v>100.3</v>
      </c>
      <c r="F61" s="440">
        <v>103.8</v>
      </c>
    </row>
    <row r="62" spans="1:6">
      <c r="A62" s="444" t="s">
        <v>188</v>
      </c>
      <c r="B62" s="445">
        <v>1346</v>
      </c>
      <c r="C62" s="441">
        <f t="shared" si="0"/>
        <v>119.32624113475177</v>
      </c>
      <c r="D62" s="442">
        <v>100</v>
      </c>
      <c r="E62" s="443">
        <v>102.1</v>
      </c>
      <c r="F62" s="440">
        <v>106.9</v>
      </c>
    </row>
    <row r="63" spans="1:6">
      <c r="A63" s="444" t="s">
        <v>189</v>
      </c>
      <c r="B63" s="445">
        <v>1344</v>
      </c>
      <c r="C63" s="441">
        <f t="shared" si="0"/>
        <v>119.14893617021276</v>
      </c>
      <c r="D63" s="442">
        <v>100</v>
      </c>
      <c r="E63" s="443">
        <v>101.1</v>
      </c>
      <c r="F63" s="440">
        <v>106.9</v>
      </c>
    </row>
    <row r="64" spans="1:6">
      <c r="A64" s="444" t="s">
        <v>190</v>
      </c>
      <c r="B64" s="445">
        <v>1338</v>
      </c>
      <c r="C64" s="441">
        <f t="shared" si="0"/>
        <v>118.61702127659575</v>
      </c>
      <c r="D64" s="442">
        <v>100</v>
      </c>
      <c r="E64" s="443">
        <v>99.2</v>
      </c>
      <c r="F64" s="440">
        <v>106.9</v>
      </c>
    </row>
    <row r="65" spans="1:6">
      <c r="A65" s="444" t="s">
        <v>191</v>
      </c>
      <c r="B65" s="445">
        <v>1363</v>
      </c>
      <c r="C65" s="441">
        <f t="shared" si="0"/>
        <v>120.83333333333333</v>
      </c>
      <c r="D65" s="446">
        <v>100</v>
      </c>
      <c r="E65" s="443">
        <v>103.4</v>
      </c>
      <c r="F65" s="440">
        <v>106.9</v>
      </c>
    </row>
    <row r="66" spans="1:6">
      <c r="A66" s="444" t="s">
        <v>192</v>
      </c>
      <c r="B66" s="445">
        <v>1358</v>
      </c>
      <c r="C66" s="441">
        <f t="shared" si="0"/>
        <v>120.39007092198581</v>
      </c>
      <c r="D66" s="446">
        <v>100</v>
      </c>
      <c r="E66" s="443">
        <v>103.4</v>
      </c>
      <c r="F66" s="440">
        <v>106.9</v>
      </c>
    </row>
    <row r="67" spans="1:6">
      <c r="A67" s="444" t="s">
        <v>193</v>
      </c>
      <c r="B67" s="445">
        <v>1317</v>
      </c>
      <c r="C67" s="441">
        <f t="shared" si="0"/>
        <v>116.75531914893618</v>
      </c>
      <c r="D67" s="446">
        <v>100</v>
      </c>
      <c r="E67" s="443">
        <v>78.099999999999994</v>
      </c>
      <c r="F67" s="440">
        <v>106.9</v>
      </c>
    </row>
    <row r="68" spans="1:6">
      <c r="A68" s="444" t="s">
        <v>194</v>
      </c>
      <c r="B68" s="445">
        <v>1307</v>
      </c>
      <c r="C68" s="441">
        <f t="shared" si="0"/>
        <v>115.86879432624113</v>
      </c>
      <c r="D68" s="446">
        <v>100</v>
      </c>
      <c r="E68" s="443">
        <v>55.7</v>
      </c>
      <c r="F68" s="440">
        <v>108.2</v>
      </c>
    </row>
    <row r="69" spans="1:6">
      <c r="A69" s="444" t="s">
        <v>195</v>
      </c>
      <c r="B69" s="445">
        <v>1368</v>
      </c>
      <c r="C69" s="441">
        <f t="shared" ref="C69:C119" si="1">B69/1128*100</f>
        <v>121.27659574468086</v>
      </c>
      <c r="D69" s="446">
        <v>100</v>
      </c>
      <c r="E69" s="443">
        <v>50.6</v>
      </c>
      <c r="F69" s="440">
        <v>108.2</v>
      </c>
    </row>
    <row r="70" spans="1:6">
      <c r="A70" s="444" t="s">
        <v>196</v>
      </c>
      <c r="B70" s="445">
        <v>1337</v>
      </c>
      <c r="C70" s="441">
        <f t="shared" si="1"/>
        <v>118.52836879432624</v>
      </c>
      <c r="D70" s="446">
        <v>100</v>
      </c>
      <c r="E70" s="443">
        <v>63.1</v>
      </c>
      <c r="F70" s="440">
        <v>108.2</v>
      </c>
    </row>
    <row r="71" spans="1:6">
      <c r="A71" s="444" t="s">
        <v>197</v>
      </c>
      <c r="B71" s="445">
        <v>1351</v>
      </c>
      <c r="C71" s="441">
        <f t="shared" si="1"/>
        <v>119.7695035460993</v>
      </c>
      <c r="D71" s="446">
        <v>100</v>
      </c>
      <c r="E71" s="443">
        <v>70.3</v>
      </c>
      <c r="F71" s="440">
        <v>108.2</v>
      </c>
    </row>
    <row r="72" spans="1:6">
      <c r="A72" s="444" t="s">
        <v>198</v>
      </c>
      <c r="B72" s="445">
        <v>1329</v>
      </c>
      <c r="C72" s="441">
        <f t="shared" si="1"/>
        <v>117.81914893617021</v>
      </c>
      <c r="D72" s="446">
        <v>100</v>
      </c>
      <c r="E72" s="443">
        <v>67.900000000000006</v>
      </c>
      <c r="F72" s="440">
        <v>108.2</v>
      </c>
    </row>
    <row r="73" spans="1:6">
      <c r="A73" s="444" t="s">
        <v>199</v>
      </c>
      <c r="B73" s="445">
        <v>1342</v>
      </c>
      <c r="C73" s="441">
        <f t="shared" si="1"/>
        <v>118.97163120567376</v>
      </c>
      <c r="D73" s="446">
        <v>100</v>
      </c>
      <c r="E73" s="443">
        <v>62.2</v>
      </c>
      <c r="F73" s="440">
        <v>108.2</v>
      </c>
    </row>
    <row r="74" spans="1:6">
      <c r="A74" s="444" t="s">
        <v>200</v>
      </c>
      <c r="B74" s="445">
        <v>1355</v>
      </c>
      <c r="C74" s="441">
        <f t="shared" si="1"/>
        <v>120.12411347517731</v>
      </c>
      <c r="D74" s="446">
        <v>100</v>
      </c>
      <c r="E74" s="447">
        <v>65.8</v>
      </c>
      <c r="F74" s="440">
        <v>114.9</v>
      </c>
    </row>
    <row r="75" spans="1:6">
      <c r="A75" s="444" t="s">
        <v>201</v>
      </c>
      <c r="B75" s="445">
        <v>1363</v>
      </c>
      <c r="C75" s="441">
        <f t="shared" si="1"/>
        <v>120.83333333333333</v>
      </c>
      <c r="D75" s="446">
        <v>100</v>
      </c>
      <c r="E75" s="447">
        <v>64.5</v>
      </c>
      <c r="F75" s="440">
        <v>114.9</v>
      </c>
    </row>
    <row r="76" spans="1:6">
      <c r="A76" s="444" t="s">
        <v>202</v>
      </c>
      <c r="B76" s="445">
        <v>1383</v>
      </c>
      <c r="C76" s="441">
        <f t="shared" si="1"/>
        <v>122.60638297872339</v>
      </c>
      <c r="D76" s="446">
        <v>100</v>
      </c>
      <c r="E76" s="447">
        <v>72.400000000000006</v>
      </c>
      <c r="F76" s="440">
        <v>114.9</v>
      </c>
    </row>
    <row r="77" spans="1:6">
      <c r="A77" s="444" t="s">
        <v>203</v>
      </c>
      <c r="B77" s="445">
        <v>1375</v>
      </c>
      <c r="C77" s="441">
        <f t="shared" si="1"/>
        <v>121.89716312056737</v>
      </c>
      <c r="D77" s="446">
        <v>100</v>
      </c>
      <c r="E77" s="447">
        <v>77.599999999999994</v>
      </c>
      <c r="F77" s="440">
        <v>114.9</v>
      </c>
    </row>
    <row r="78" spans="1:6">
      <c r="A78" s="444" t="s">
        <v>204</v>
      </c>
      <c r="B78" s="445">
        <v>1385</v>
      </c>
      <c r="C78" s="441">
        <f t="shared" si="1"/>
        <v>122.78368794326242</v>
      </c>
      <c r="D78" s="446">
        <v>100</v>
      </c>
      <c r="E78" s="447">
        <v>84.7</v>
      </c>
      <c r="F78" s="440">
        <v>114.9</v>
      </c>
    </row>
    <row r="79" spans="1:6">
      <c r="A79" s="444" t="s">
        <v>205</v>
      </c>
      <c r="B79" s="445">
        <v>1429</v>
      </c>
      <c r="C79" s="441">
        <f t="shared" si="1"/>
        <v>126.68439716312056</v>
      </c>
      <c r="D79" s="446">
        <v>100</v>
      </c>
      <c r="E79" s="447">
        <v>93.6</v>
      </c>
      <c r="F79" s="440">
        <v>114.9</v>
      </c>
    </row>
    <row r="80" spans="1:6">
      <c r="A80" s="444" t="s">
        <v>206</v>
      </c>
      <c r="B80" s="445">
        <v>1409</v>
      </c>
      <c r="C80" s="441">
        <f t="shared" si="1"/>
        <v>124.91134751773049</v>
      </c>
      <c r="D80" s="446">
        <v>100</v>
      </c>
      <c r="E80" s="447">
        <v>87.3</v>
      </c>
      <c r="F80" s="440">
        <v>114.9</v>
      </c>
    </row>
    <row r="81" spans="1:6">
      <c r="A81" s="444" t="s">
        <v>207</v>
      </c>
      <c r="B81" s="445">
        <v>1442</v>
      </c>
      <c r="C81" s="441">
        <f t="shared" si="1"/>
        <v>127.83687943262412</v>
      </c>
      <c r="D81" s="446">
        <v>100</v>
      </c>
      <c r="E81" s="447">
        <v>92.4</v>
      </c>
      <c r="F81" s="440">
        <v>116</v>
      </c>
    </row>
    <row r="82" spans="1:6">
      <c r="A82" s="444" t="s">
        <v>208</v>
      </c>
      <c r="B82" s="445">
        <v>1431</v>
      </c>
      <c r="C82" s="441">
        <f t="shared" si="1"/>
        <v>126.86170212765957</v>
      </c>
      <c r="D82" s="446">
        <v>100</v>
      </c>
      <c r="E82" s="447">
        <v>95.4</v>
      </c>
      <c r="F82" s="440">
        <v>116</v>
      </c>
    </row>
    <row r="83" spans="1:6">
      <c r="A83" s="444" t="s">
        <v>209</v>
      </c>
      <c r="B83" s="445">
        <v>1427</v>
      </c>
      <c r="C83" s="441">
        <f t="shared" si="1"/>
        <v>126.50709219858156</v>
      </c>
      <c r="D83" s="446">
        <v>100</v>
      </c>
      <c r="E83" s="447">
        <v>101.4</v>
      </c>
      <c r="F83" s="440">
        <v>121.9</v>
      </c>
    </row>
    <row r="84" spans="1:6">
      <c r="A84" s="444" t="s">
        <v>210</v>
      </c>
      <c r="B84" s="445">
        <v>1418</v>
      </c>
      <c r="C84" s="441">
        <f t="shared" si="1"/>
        <v>125.70921985815602</v>
      </c>
      <c r="D84" s="446">
        <v>100</v>
      </c>
      <c r="E84" s="447">
        <v>100.6</v>
      </c>
      <c r="F84" s="440">
        <v>121.9</v>
      </c>
    </row>
    <row r="85" spans="1:6">
      <c r="A85" s="444" t="s">
        <v>211</v>
      </c>
      <c r="B85" s="445">
        <v>1433</v>
      </c>
      <c r="C85" s="441">
        <f t="shared" si="1"/>
        <v>127.03900709219857</v>
      </c>
      <c r="D85" s="446">
        <v>100</v>
      </c>
      <c r="E85" s="447">
        <v>104.1</v>
      </c>
      <c r="F85" s="440">
        <v>121.9</v>
      </c>
    </row>
    <row r="86" spans="1:6">
      <c r="A86" s="444" t="s">
        <v>212</v>
      </c>
      <c r="B86" s="445">
        <v>1430</v>
      </c>
      <c r="C86" s="441">
        <f t="shared" si="1"/>
        <v>126.77304964539007</v>
      </c>
      <c r="D86" s="446">
        <v>100</v>
      </c>
      <c r="E86" s="447">
        <v>122.3</v>
      </c>
      <c r="F86" s="440">
        <v>122.7</v>
      </c>
    </row>
    <row r="87" spans="1:6">
      <c r="A87" s="444" t="s">
        <v>213</v>
      </c>
      <c r="B87" s="445">
        <v>1482</v>
      </c>
      <c r="C87" s="441">
        <f t="shared" si="1"/>
        <v>131.38297872340425</v>
      </c>
      <c r="D87" s="446">
        <v>100</v>
      </c>
      <c r="E87" s="447">
        <v>124.4</v>
      </c>
      <c r="F87" s="440">
        <v>122.7</v>
      </c>
    </row>
    <row r="88" spans="1:6">
      <c r="A88" s="444" t="s">
        <v>214</v>
      </c>
      <c r="B88" s="445">
        <v>1436</v>
      </c>
      <c r="C88" s="441">
        <f t="shared" si="1"/>
        <v>127.30496453900709</v>
      </c>
      <c r="D88" s="446">
        <v>100</v>
      </c>
      <c r="E88" s="447">
        <v>116.3</v>
      </c>
      <c r="F88" s="440">
        <v>122.7</v>
      </c>
    </row>
    <row r="89" spans="1:6">
      <c r="A89" s="444" t="s">
        <v>215</v>
      </c>
      <c r="B89" s="445">
        <v>1417</v>
      </c>
      <c r="C89" s="441">
        <f t="shared" si="1"/>
        <v>125.62056737588651</v>
      </c>
      <c r="D89" s="446">
        <v>105.9</v>
      </c>
      <c r="E89" s="447">
        <v>124.2</v>
      </c>
      <c r="F89" s="440">
        <v>122.7</v>
      </c>
    </row>
    <row r="90" spans="1:6">
      <c r="A90" s="444" t="s">
        <v>216</v>
      </c>
      <c r="B90" s="445">
        <v>1477</v>
      </c>
      <c r="C90" s="441">
        <f t="shared" si="1"/>
        <v>130.93971631205673</v>
      </c>
      <c r="D90" s="446">
        <v>105.9</v>
      </c>
      <c r="E90" s="447">
        <v>140.5</v>
      </c>
      <c r="F90" s="440">
        <v>122.7</v>
      </c>
    </row>
    <row r="91" spans="1:6">
      <c r="A91" s="444" t="s">
        <v>217</v>
      </c>
      <c r="B91" s="445">
        <v>1507</v>
      </c>
      <c r="C91" s="441">
        <f t="shared" si="1"/>
        <v>133.59929078014184</v>
      </c>
      <c r="D91" s="446">
        <v>105.9</v>
      </c>
      <c r="E91" s="447">
        <v>194</v>
      </c>
      <c r="F91" s="440">
        <v>122.7</v>
      </c>
    </row>
    <row r="92" spans="1:6">
      <c r="A92" s="444" t="s">
        <v>218</v>
      </c>
      <c r="B92" s="445">
        <v>1515</v>
      </c>
      <c r="C92" s="441">
        <f t="shared" si="1"/>
        <v>134.30851063829786</v>
      </c>
      <c r="D92" s="446">
        <v>105.9</v>
      </c>
      <c r="E92" s="447">
        <v>174.1</v>
      </c>
      <c r="F92" s="440">
        <v>125.2</v>
      </c>
    </row>
    <row r="93" spans="1:6">
      <c r="A93" s="444" t="s">
        <v>219</v>
      </c>
      <c r="B93" s="445">
        <v>1574</v>
      </c>
      <c r="C93" s="441">
        <f t="shared" si="1"/>
        <v>139.53900709219857</v>
      </c>
      <c r="D93" s="446">
        <v>105.9</v>
      </c>
      <c r="E93" s="447">
        <v>191.1</v>
      </c>
      <c r="F93" s="440">
        <v>125.2</v>
      </c>
    </row>
    <row r="94" spans="1:6">
      <c r="A94" s="444" t="s">
        <v>220</v>
      </c>
      <c r="B94" s="445">
        <v>1541</v>
      </c>
      <c r="C94" s="441">
        <f t="shared" si="1"/>
        <v>136.61347517730496</v>
      </c>
      <c r="D94" s="446">
        <v>113.9</v>
      </c>
      <c r="E94" s="447">
        <v>203.3</v>
      </c>
      <c r="F94" s="440">
        <v>125.2</v>
      </c>
    </row>
    <row r="95" spans="1:6">
      <c r="A95" s="444" t="s">
        <v>221</v>
      </c>
      <c r="B95" s="436">
        <v>1543</v>
      </c>
      <c r="C95" s="441">
        <f t="shared" si="1"/>
        <v>136.79078014184398</v>
      </c>
      <c r="D95" s="446">
        <v>113.9</v>
      </c>
      <c r="E95" s="447">
        <v>196.8</v>
      </c>
      <c r="F95" s="440">
        <v>125.3</v>
      </c>
    </row>
    <row r="96" spans="1:6">
      <c r="A96" s="444" t="s">
        <v>222</v>
      </c>
      <c r="B96" s="436">
        <v>1566</v>
      </c>
      <c r="C96" s="441">
        <f t="shared" si="1"/>
        <v>138.82978723404256</v>
      </c>
      <c r="D96" s="446">
        <v>113.9</v>
      </c>
      <c r="E96" s="447">
        <v>170.3</v>
      </c>
      <c r="F96" s="440">
        <v>127.4</v>
      </c>
    </row>
    <row r="97" spans="1:6">
      <c r="A97" s="444" t="s">
        <v>223</v>
      </c>
      <c r="B97" s="436">
        <v>1561</v>
      </c>
      <c r="C97" s="441">
        <f t="shared" si="1"/>
        <v>138.38652482269504</v>
      </c>
      <c r="D97" s="446">
        <v>113.9</v>
      </c>
      <c r="E97" s="447">
        <v>173</v>
      </c>
      <c r="F97" s="440">
        <v>129.30000000000001</v>
      </c>
    </row>
    <row r="98" spans="1:6">
      <c r="A98" s="444" t="s">
        <v>224</v>
      </c>
      <c r="B98" s="436">
        <v>1568</v>
      </c>
      <c r="C98" s="441">
        <f t="shared" si="1"/>
        <v>139.00709219858157</v>
      </c>
      <c r="D98" s="446">
        <v>113.9</v>
      </c>
      <c r="E98" s="447">
        <v>176.8</v>
      </c>
      <c r="F98" s="440">
        <v>129.30000000000001</v>
      </c>
    </row>
    <row r="99" spans="1:6">
      <c r="A99" s="444" t="s">
        <v>225</v>
      </c>
      <c r="B99" s="436">
        <v>1605</v>
      </c>
      <c r="C99" s="441">
        <f t="shared" si="1"/>
        <v>142.28723404255319</v>
      </c>
      <c r="D99" s="446">
        <v>113.9</v>
      </c>
      <c r="E99" s="447">
        <v>181.7</v>
      </c>
      <c r="F99" s="440">
        <v>129.30000000000001</v>
      </c>
    </row>
    <row r="100" spans="1:6">
      <c r="A100" s="444" t="s">
        <v>226</v>
      </c>
      <c r="B100" s="436">
        <v>1597</v>
      </c>
      <c r="C100" s="441">
        <f t="shared" si="1"/>
        <v>141.57801418439718</v>
      </c>
      <c r="D100" s="446">
        <v>113.9</v>
      </c>
      <c r="E100" s="447">
        <v>143.5</v>
      </c>
      <c r="F100" s="440">
        <v>129.30000000000001</v>
      </c>
    </row>
    <row r="101" spans="1:6">
      <c r="A101" s="444" t="s">
        <v>227</v>
      </c>
      <c r="B101" s="436">
        <v>1676</v>
      </c>
      <c r="C101" s="441">
        <f t="shared" si="1"/>
        <v>148.58156028368793</v>
      </c>
      <c r="D101" s="446">
        <v>113.9</v>
      </c>
      <c r="E101" s="447">
        <v>146.69999999999999</v>
      </c>
      <c r="F101" s="440">
        <v>129.4</v>
      </c>
    </row>
    <row r="102" spans="1:6">
      <c r="A102" s="444" t="s">
        <v>228</v>
      </c>
      <c r="B102" s="436">
        <v>1669</v>
      </c>
      <c r="C102" s="441">
        <f t="shared" si="1"/>
        <v>147.96099290780143</v>
      </c>
      <c r="D102" s="446">
        <v>113.9</v>
      </c>
      <c r="E102" s="447">
        <v>146</v>
      </c>
      <c r="F102" s="440">
        <v>129.4</v>
      </c>
    </row>
    <row r="103" spans="1:6">
      <c r="A103" s="444" t="s">
        <v>229</v>
      </c>
      <c r="B103" s="436">
        <v>1760</v>
      </c>
      <c r="C103" s="441">
        <f t="shared" si="1"/>
        <v>156.02836879432624</v>
      </c>
      <c r="D103" s="446">
        <v>114</v>
      </c>
      <c r="E103" s="447">
        <v>146.5</v>
      </c>
      <c r="F103" s="440">
        <v>129.4</v>
      </c>
    </row>
    <row r="104" spans="1:6">
      <c r="A104" s="444" t="s">
        <v>230</v>
      </c>
      <c r="B104" s="436">
        <v>1719</v>
      </c>
      <c r="C104" s="441">
        <f t="shared" si="1"/>
        <v>152.39361702127661</v>
      </c>
      <c r="D104" s="446">
        <v>114</v>
      </c>
      <c r="E104" s="447">
        <v>144.19999999999999</v>
      </c>
      <c r="F104" s="440">
        <v>129.4</v>
      </c>
    </row>
    <row r="105" spans="1:6">
      <c r="A105" s="444" t="s">
        <v>231</v>
      </c>
      <c r="B105" s="436">
        <v>1766</v>
      </c>
      <c r="C105" s="441">
        <f t="shared" si="1"/>
        <v>156.56028368794327</v>
      </c>
      <c r="D105" s="446">
        <v>114</v>
      </c>
      <c r="E105" s="447">
        <v>123.4</v>
      </c>
      <c r="F105" s="440">
        <v>129.4</v>
      </c>
    </row>
    <row r="106" spans="1:6">
      <c r="A106" s="444" t="s">
        <v>232</v>
      </c>
      <c r="B106" s="436">
        <v>1750</v>
      </c>
      <c r="C106" s="441">
        <f t="shared" si="1"/>
        <v>155.1418439716312</v>
      </c>
      <c r="D106" s="446">
        <v>112.3</v>
      </c>
      <c r="E106" s="447">
        <v>132.4</v>
      </c>
      <c r="F106" s="440">
        <v>129.4</v>
      </c>
    </row>
    <row r="107" spans="1:6">
      <c r="A107" s="444" t="s">
        <v>295</v>
      </c>
      <c r="B107" s="436">
        <v>1752</v>
      </c>
      <c r="C107" s="441">
        <f t="shared" si="1"/>
        <v>155.31914893617019</v>
      </c>
      <c r="D107" s="446">
        <v>112.3</v>
      </c>
      <c r="E107" s="447">
        <v>134.19999999999999</v>
      </c>
      <c r="F107" s="440">
        <v>132.69999999999999</v>
      </c>
    </row>
    <row r="108" spans="1:6">
      <c r="A108" s="444" t="s">
        <v>297</v>
      </c>
      <c r="B108" s="436">
        <v>1779</v>
      </c>
      <c r="C108" s="441">
        <f t="shared" si="1"/>
        <v>157.71276595744681</v>
      </c>
      <c r="D108" s="446">
        <v>112.3</v>
      </c>
      <c r="E108" s="447">
        <v>154.1</v>
      </c>
      <c r="F108" s="440">
        <v>132.69999999999999</v>
      </c>
    </row>
    <row r="109" spans="1:6">
      <c r="A109" s="444" t="s">
        <v>311</v>
      </c>
      <c r="B109" s="436">
        <v>1770</v>
      </c>
      <c r="C109" s="441">
        <f t="shared" si="1"/>
        <v>156.91489361702128</v>
      </c>
      <c r="D109" s="446">
        <v>112.3</v>
      </c>
      <c r="E109" s="447">
        <v>160.4</v>
      </c>
      <c r="F109" s="440">
        <v>132.69999999999999</v>
      </c>
    </row>
    <row r="110" spans="1:6">
      <c r="A110" s="444" t="s">
        <v>312</v>
      </c>
      <c r="B110" s="436">
        <v>1794</v>
      </c>
      <c r="C110" s="441">
        <f t="shared" si="1"/>
        <v>159.04255319148936</v>
      </c>
      <c r="D110" s="446">
        <v>112.3</v>
      </c>
      <c r="E110" s="447">
        <v>149.30000000000001</v>
      </c>
      <c r="F110" s="440">
        <v>132.69999999999999</v>
      </c>
    </row>
    <row r="111" spans="1:6">
      <c r="A111" s="444" t="s">
        <v>313</v>
      </c>
      <c r="B111" s="436">
        <v>1850</v>
      </c>
      <c r="C111" s="441">
        <f t="shared" si="1"/>
        <v>164.00709219858157</v>
      </c>
      <c r="D111" s="446">
        <v>112.3</v>
      </c>
      <c r="E111" s="447">
        <v>141.5</v>
      </c>
      <c r="F111" s="440">
        <v>132.69999999999999</v>
      </c>
    </row>
    <row r="112" spans="1:6">
      <c r="A112" s="444" t="s">
        <v>314</v>
      </c>
      <c r="B112" s="436">
        <v>1764</v>
      </c>
      <c r="C112" s="441">
        <f t="shared" si="1"/>
        <v>156.38297872340425</v>
      </c>
      <c r="D112" s="446">
        <v>112.3</v>
      </c>
      <c r="E112" s="447">
        <v>131.9</v>
      </c>
      <c r="F112" s="440">
        <v>132.69999999999999</v>
      </c>
    </row>
    <row r="113" spans="1:6">
      <c r="A113" s="444" t="s">
        <v>315</v>
      </c>
      <c r="B113" s="436">
        <v>1849</v>
      </c>
      <c r="C113" s="441">
        <f t="shared" si="1"/>
        <v>163.91843971631207</v>
      </c>
      <c r="D113" s="446">
        <v>112.3</v>
      </c>
      <c r="E113" s="447">
        <v>142</v>
      </c>
      <c r="F113" s="440">
        <v>133.5</v>
      </c>
    </row>
    <row r="114" spans="1:6">
      <c r="A114" s="444" t="s">
        <v>316</v>
      </c>
      <c r="B114" s="436">
        <v>1851</v>
      </c>
      <c r="C114" s="441">
        <f t="shared" si="1"/>
        <v>164.09574468085106</v>
      </c>
      <c r="D114" s="446">
        <v>112.3</v>
      </c>
      <c r="E114" s="447">
        <v>142</v>
      </c>
      <c r="F114" s="440">
        <v>137.19999999999999</v>
      </c>
    </row>
    <row r="115" spans="1:6">
      <c r="A115" s="444" t="s">
        <v>317</v>
      </c>
      <c r="B115" s="436">
        <v>1906</v>
      </c>
      <c r="C115" s="441">
        <f t="shared" si="1"/>
        <v>168.97163120567376</v>
      </c>
      <c r="D115" s="446">
        <v>116.7</v>
      </c>
      <c r="E115" s="447">
        <v>141</v>
      </c>
      <c r="F115" s="440">
        <v>137.19999999999999</v>
      </c>
    </row>
    <row r="116" spans="1:6">
      <c r="A116" s="444" t="s">
        <v>318</v>
      </c>
      <c r="B116" s="436">
        <v>1929</v>
      </c>
      <c r="C116" s="441">
        <f t="shared" si="1"/>
        <v>171.01063829787233</v>
      </c>
      <c r="D116" s="446">
        <v>116.7</v>
      </c>
      <c r="E116" s="447">
        <v>146.9</v>
      </c>
      <c r="F116" s="440">
        <v>137.19999999999999</v>
      </c>
    </row>
    <row r="117" spans="1:6">
      <c r="A117" s="444" t="s">
        <v>319</v>
      </c>
      <c r="B117" s="436">
        <v>1987</v>
      </c>
      <c r="C117" s="441">
        <f t="shared" si="1"/>
        <v>176.15248226950357</v>
      </c>
      <c r="D117" s="446">
        <v>116.7</v>
      </c>
      <c r="E117" s="447">
        <v>135.4</v>
      </c>
      <c r="F117" s="440">
        <v>139.30000000000001</v>
      </c>
    </row>
    <row r="118" spans="1:6">
      <c r="A118" s="444" t="s">
        <v>320</v>
      </c>
      <c r="B118" s="436">
        <v>1950</v>
      </c>
      <c r="C118" s="441">
        <f t="shared" si="1"/>
        <v>172.87234042553192</v>
      </c>
      <c r="D118" s="446">
        <v>116.7</v>
      </c>
      <c r="E118" s="447">
        <v>128</v>
      </c>
      <c r="F118" s="440">
        <v>139.30000000000001</v>
      </c>
    </row>
    <row r="119" spans="1:6">
      <c r="A119" s="444" t="s">
        <v>321</v>
      </c>
      <c r="B119" s="436">
        <v>1979</v>
      </c>
      <c r="C119" s="441">
        <f t="shared" si="1"/>
        <v>175.44326241134752</v>
      </c>
      <c r="D119" s="446">
        <v>116.7</v>
      </c>
      <c r="E119" s="447">
        <v>139.80000000000001</v>
      </c>
      <c r="F119" s="440">
        <v>139.30000000000001</v>
      </c>
    </row>
    <row r="120" spans="1:6">
      <c r="A120" s="444" t="s">
        <v>322</v>
      </c>
      <c r="B120" s="436"/>
      <c r="C120" s="448">
        <v>174.38</v>
      </c>
      <c r="D120" s="449">
        <v>116.7</v>
      </c>
      <c r="E120" s="450">
        <v>127.8</v>
      </c>
      <c r="F120" s="440">
        <v>144.1</v>
      </c>
    </row>
    <row r="121" spans="1:6">
      <c r="A121" s="444" t="s">
        <v>556</v>
      </c>
      <c r="B121" s="436"/>
      <c r="C121" s="448">
        <v>175.44</v>
      </c>
      <c r="D121" s="449" t="s">
        <v>557</v>
      </c>
      <c r="E121" s="450">
        <v>127.8</v>
      </c>
      <c r="F121" s="440">
        <v>144.1</v>
      </c>
    </row>
    <row r="122" spans="1:6" hidden="1">
      <c r="A122" s="444" t="s">
        <v>322</v>
      </c>
      <c r="B122" s="436"/>
      <c r="C122" s="448">
        <v>174.38</v>
      </c>
      <c r="D122" s="449">
        <v>116.7</v>
      </c>
      <c r="E122" s="450">
        <v>127.8</v>
      </c>
      <c r="F122" s="440">
        <v>144.1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X73"/>
  <sheetViews>
    <sheetView topLeftCell="A2" zoomScale="122" zoomScaleNormal="122" workbookViewId="0">
      <selection activeCell="A21" sqref="A21"/>
    </sheetView>
  </sheetViews>
  <sheetFormatPr defaultColWidth="9.140625" defaultRowHeight="15"/>
  <cols>
    <col min="1" max="1" width="30.42578125" style="33" customWidth="1"/>
    <col min="2" max="10" width="0" style="33" hidden="1" customWidth="1"/>
    <col min="11" max="11" width="20.140625" style="33" customWidth="1"/>
    <col min="12" max="12" width="16.28515625" style="33" customWidth="1"/>
    <col min="13" max="13" width="8" style="33" bestFit="1" customWidth="1"/>
    <col min="14" max="15" width="7.7109375" style="33" bestFit="1" customWidth="1"/>
    <col min="16" max="16" width="7.7109375" style="33" hidden="1" customWidth="1"/>
    <col min="17" max="17" width="8.140625" style="33" hidden="1" customWidth="1"/>
    <col min="18" max="18" width="8.42578125" style="33" hidden="1" customWidth="1"/>
    <col min="19" max="21" width="7.7109375" style="33" hidden="1" customWidth="1"/>
    <col min="22" max="22" width="8.140625" style="33" hidden="1" customWidth="1"/>
    <col min="23" max="24" width="7.42578125" style="33" hidden="1" customWidth="1"/>
    <col min="25" max="25" width="8" style="33" hidden="1" customWidth="1"/>
    <col min="26" max="28" width="7.7109375" style="33" hidden="1" customWidth="1"/>
    <col min="29" max="29" width="8.140625" style="33" hidden="1" customWidth="1"/>
    <col min="30" max="30" width="8.42578125" style="33" hidden="1" customWidth="1"/>
    <col min="31" max="33" width="7.7109375" style="33" hidden="1" customWidth="1"/>
    <col min="34" max="34" width="8.140625" style="33" hidden="1" customWidth="1"/>
    <col min="35" max="36" width="7.42578125" style="33" hidden="1" customWidth="1"/>
    <col min="37" max="37" width="8" style="33" hidden="1" customWidth="1"/>
    <col min="38" max="40" width="7.7109375" style="33" hidden="1" customWidth="1"/>
    <col min="41" max="41" width="8.140625" style="33" hidden="1" customWidth="1"/>
    <col min="42" max="42" width="8.42578125" style="33" hidden="1" customWidth="1"/>
    <col min="43" max="45" width="7.7109375" style="33" hidden="1" customWidth="1"/>
    <col min="46" max="46" width="8.140625" style="33" hidden="1" customWidth="1"/>
    <col min="47" max="48" width="7.42578125" style="33" hidden="1" customWidth="1"/>
    <col min="49" max="49" width="8" style="33" hidden="1" customWidth="1"/>
    <col min="50" max="52" width="7.7109375" style="33" hidden="1" customWidth="1"/>
    <col min="53" max="53" width="8.140625" style="33" hidden="1" customWidth="1"/>
    <col min="54" max="54" width="8.42578125" style="33" hidden="1" customWidth="1"/>
    <col min="55" max="57" width="7.7109375" style="33" hidden="1" customWidth="1"/>
    <col min="58" max="58" width="8.140625" style="33" hidden="1" customWidth="1"/>
    <col min="59" max="60" width="7.42578125" style="33" hidden="1" customWidth="1"/>
    <col min="61" max="61" width="8" style="33" hidden="1" customWidth="1"/>
    <col min="62" max="62" width="8.140625" style="33" hidden="1" customWidth="1"/>
    <col min="63" max="63" width="7.7109375" style="33" hidden="1" customWidth="1"/>
    <col min="64" max="64" width="8.140625" style="33" hidden="1" customWidth="1"/>
    <col min="65" max="65" width="8.42578125" style="33" hidden="1" customWidth="1"/>
    <col min="66" max="66" width="9" style="33" hidden="1" customWidth="1"/>
    <col min="67" max="69" width="7.7109375" style="33" hidden="1" customWidth="1"/>
    <col min="70" max="70" width="8.140625" style="33" hidden="1" customWidth="1"/>
    <col min="71" max="72" width="7.42578125" style="33" hidden="1" customWidth="1"/>
    <col min="73" max="73" width="8" style="33" hidden="1" customWidth="1"/>
    <col min="74" max="74" width="8.140625" style="33" hidden="1" customWidth="1"/>
    <col min="75" max="75" width="7.7109375" style="33" hidden="1" customWidth="1"/>
    <col min="76" max="76" width="8.140625" style="33" hidden="1" customWidth="1"/>
    <col min="77" max="77" width="8.42578125" style="33" hidden="1" customWidth="1"/>
    <col min="78" max="78" width="9" style="33" hidden="1" customWidth="1"/>
    <col min="79" max="79" width="8.140625" style="33" hidden="1" customWidth="1"/>
    <col min="80" max="80" width="7.7109375" style="33" hidden="1" customWidth="1"/>
    <col min="81" max="81" width="8.140625" style="33" hidden="1" customWidth="1"/>
    <col min="82" max="82" width="8.42578125" style="33" hidden="1" customWidth="1"/>
    <col min="83" max="84" width="7.42578125" style="33" hidden="1" customWidth="1"/>
    <col min="85" max="85" width="8" style="33" hidden="1" customWidth="1"/>
    <col min="86" max="86" width="8.140625" style="33" hidden="1" customWidth="1"/>
    <col min="87" max="87" width="7.7109375" style="33" hidden="1" customWidth="1"/>
    <col min="88" max="88" width="8.140625" style="33" hidden="1" customWidth="1"/>
    <col min="89" max="89" width="8.42578125" style="33" hidden="1" customWidth="1"/>
    <col min="90" max="90" width="9" style="33" hidden="1" customWidth="1"/>
    <col min="91" max="91" width="8.140625" style="33" hidden="1" customWidth="1"/>
    <col min="92" max="92" width="7.7109375" style="33" hidden="1" customWidth="1"/>
    <col min="93" max="93" width="8.28515625" style="33" hidden="1" customWidth="1"/>
    <col min="94" max="94" width="8.42578125" style="33" hidden="1" customWidth="1"/>
    <col min="95" max="95" width="7.140625" style="33" hidden="1" customWidth="1"/>
    <col min="96" max="96" width="7.42578125" style="33" hidden="1" customWidth="1"/>
    <col min="97" max="97" width="8" style="33" hidden="1" customWidth="1"/>
    <col min="98" max="98" width="8.140625" style="33" hidden="1" customWidth="1"/>
    <col min="99" max="99" width="7.7109375" style="33" hidden="1" customWidth="1"/>
    <col min="100" max="100" width="8.140625" style="33" hidden="1" customWidth="1"/>
    <col min="101" max="101" width="8.42578125" style="33" hidden="1" customWidth="1"/>
    <col min="102" max="102" width="9" style="33" hidden="1" customWidth="1"/>
    <col min="103" max="103" width="8.140625" style="33" hidden="1" customWidth="1"/>
    <col min="104" max="104" width="7.7109375" style="33" hidden="1" customWidth="1"/>
    <col min="105" max="105" width="8.140625" style="33" hidden="1" customWidth="1"/>
    <col min="106" max="106" width="8.42578125" style="33" hidden="1" customWidth="1"/>
    <col min="107" max="108" width="7.42578125" style="33" hidden="1" customWidth="1"/>
    <col min="109" max="109" width="8" style="33" hidden="1" customWidth="1"/>
    <col min="110" max="110" width="8.140625" style="33" hidden="1" customWidth="1"/>
    <col min="111" max="111" width="7.7109375" style="33" hidden="1" customWidth="1"/>
    <col min="112" max="112" width="8.140625" style="33" hidden="1" customWidth="1"/>
    <col min="113" max="113" width="8.42578125" style="33" hidden="1" customWidth="1"/>
    <col min="114" max="114" width="9" style="33" hidden="1" customWidth="1"/>
    <col min="115" max="115" width="8.140625" style="33" hidden="1" customWidth="1"/>
    <col min="116" max="116" width="7.7109375" style="33" hidden="1" customWidth="1"/>
    <col min="117" max="117" width="8.140625" style="33" hidden="1" customWidth="1"/>
    <col min="118" max="118" width="8.42578125" style="33" hidden="1" customWidth="1"/>
    <col min="119" max="119" width="7.42578125" style="33" hidden="1" customWidth="1"/>
    <col min="120" max="120" width="8" style="33" hidden="1" customWidth="1"/>
    <col min="121" max="122" width="8.42578125" style="33" hidden="1" customWidth="1"/>
    <col min="123" max="123" width="8.140625" style="33" hidden="1" customWidth="1"/>
    <col min="124" max="124" width="8.42578125" style="33" hidden="1" customWidth="1"/>
    <col min="125" max="125" width="9" style="33" hidden="1" customWidth="1"/>
    <col min="126" max="126" width="8.42578125" style="33" hidden="1" customWidth="1"/>
    <col min="127" max="127" width="3.42578125" style="33" customWidth="1"/>
    <col min="128" max="128" width="8.7109375" style="33" customWidth="1"/>
    <col min="129" max="16384" width="9.140625" style="33"/>
  </cols>
  <sheetData>
    <row r="1" spans="1:128" hidden="1">
      <c r="A1" s="145">
        <v>105.9</v>
      </c>
      <c r="B1" s="145">
        <v>105.9</v>
      </c>
      <c r="C1" s="145">
        <v>85.1</v>
      </c>
      <c r="D1" s="145">
        <v>58.3</v>
      </c>
      <c r="E1" s="145">
        <v>54.3</v>
      </c>
      <c r="F1" s="145">
        <v>65.599999999999994</v>
      </c>
      <c r="G1" s="145">
        <v>73.8</v>
      </c>
      <c r="H1" s="145">
        <v>71.2</v>
      </c>
      <c r="I1" s="145">
        <v>66</v>
      </c>
      <c r="J1" s="145">
        <v>69.599999999999994</v>
      </c>
      <c r="K1" s="145">
        <v>66.3</v>
      </c>
      <c r="L1" s="145">
        <v>75.7</v>
      </c>
      <c r="M1" s="145">
        <v>79.400000000000006</v>
      </c>
      <c r="N1" s="145">
        <v>86.3</v>
      </c>
      <c r="O1" s="145">
        <v>94.4</v>
      </c>
      <c r="P1" s="145">
        <v>86.3</v>
      </c>
      <c r="Q1" s="145">
        <v>92.4</v>
      </c>
      <c r="R1" s="145">
        <v>95.7</v>
      </c>
      <c r="S1" s="145">
        <v>100.5</v>
      </c>
      <c r="T1" s="145">
        <v>98.9</v>
      </c>
      <c r="U1" s="145">
        <v>102.8</v>
      </c>
      <c r="V1" s="145">
        <v>121.2</v>
      </c>
      <c r="W1" s="145">
        <v>125.7</v>
      </c>
      <c r="X1" s="145">
        <v>116.6</v>
      </c>
      <c r="Y1" s="145">
        <v>122.7</v>
      </c>
      <c r="Z1" s="145">
        <v>141</v>
      </c>
      <c r="AA1" s="145">
        <v>196.4</v>
      </c>
      <c r="AB1" s="145">
        <v>172</v>
      </c>
      <c r="AC1" s="145">
        <v>194.3</v>
      </c>
      <c r="AD1" s="145">
        <v>199</v>
      </c>
      <c r="AE1" s="146">
        <v>200.4</v>
      </c>
      <c r="AF1" s="146">
        <v>171.6</v>
      </c>
      <c r="AG1" s="146">
        <v>177.8</v>
      </c>
      <c r="AH1" s="146">
        <v>171.3</v>
      </c>
      <c r="AI1" s="146">
        <v>187.6</v>
      </c>
      <c r="AJ1" s="146">
        <v>144.1</v>
      </c>
      <c r="AK1" s="146">
        <v>147.80000000000001</v>
      </c>
      <c r="AL1" s="146">
        <v>143.69999999999999</v>
      </c>
      <c r="AM1" s="146">
        <v>147.19999999999999</v>
      </c>
      <c r="AN1" s="146">
        <v>143.1</v>
      </c>
      <c r="AO1" s="146">
        <v>119.1</v>
      </c>
      <c r="AP1" s="146">
        <v>130.5</v>
      </c>
      <c r="AQ1" s="146">
        <v>130.5</v>
      </c>
      <c r="AR1" s="146">
        <v>154.1</v>
      </c>
      <c r="AS1" s="146">
        <v>159.9</v>
      </c>
      <c r="AT1" s="146">
        <v>153.1</v>
      </c>
      <c r="AU1" s="146">
        <v>142.1</v>
      </c>
      <c r="AV1" s="146">
        <v>133.4</v>
      </c>
      <c r="AW1" s="146">
        <v>142</v>
      </c>
      <c r="AX1" s="146">
        <v>142</v>
      </c>
      <c r="AY1" s="146">
        <v>141</v>
      </c>
      <c r="AZ1" s="146" t="s">
        <v>341</v>
      </c>
      <c r="BA1" s="146">
        <v>135.19999999999999</v>
      </c>
      <c r="BB1" s="146">
        <v>127.3</v>
      </c>
      <c r="BC1" s="146">
        <v>141</v>
      </c>
      <c r="BD1" s="146">
        <v>126.6</v>
      </c>
    </row>
    <row r="2" spans="1:128" s="235" customFormat="1" ht="38.1" customHeight="1">
      <c r="A2" s="367"/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8" t="s">
        <v>445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F2" s="248"/>
      <c r="BG2" s="248"/>
      <c r="BH2" s="248"/>
      <c r="BI2" s="248"/>
      <c r="BJ2" s="248"/>
      <c r="BK2" s="248"/>
      <c r="BL2" s="248"/>
      <c r="BM2" s="248"/>
      <c r="BN2" s="248"/>
      <c r="BO2" s="248"/>
      <c r="BP2" s="248"/>
      <c r="BQ2" s="248"/>
      <c r="BR2" s="248"/>
      <c r="BS2" s="248"/>
      <c r="BT2" s="248"/>
      <c r="BU2" s="248"/>
      <c r="BV2" s="248"/>
      <c r="BW2" s="248"/>
      <c r="BX2" s="248"/>
      <c r="BY2" s="248"/>
      <c r="BZ2" s="248"/>
      <c r="CA2" s="248"/>
      <c r="CB2" s="248"/>
      <c r="CC2" s="248"/>
      <c r="CD2" s="248"/>
      <c r="CE2" s="248"/>
      <c r="CF2" s="248"/>
      <c r="CG2" s="248"/>
      <c r="CH2" s="248"/>
      <c r="CI2" s="248"/>
      <c r="CJ2" s="248"/>
      <c r="CK2" s="248"/>
      <c r="CL2" s="248"/>
      <c r="CM2" s="248"/>
      <c r="CN2" s="248"/>
      <c r="CO2" s="248"/>
      <c r="CP2" s="248"/>
      <c r="CQ2" s="248"/>
      <c r="CR2" s="248"/>
      <c r="CS2" s="248"/>
      <c r="CT2" s="248"/>
      <c r="CU2" s="248"/>
      <c r="CV2" s="248"/>
      <c r="CW2" s="248"/>
      <c r="CX2" s="248"/>
      <c r="CY2" s="248"/>
      <c r="CZ2" s="248"/>
      <c r="DA2" s="248"/>
      <c r="DB2" s="248"/>
      <c r="DC2" s="248"/>
      <c r="DD2" s="248"/>
      <c r="DE2" s="248"/>
      <c r="DF2" s="248"/>
      <c r="DG2" s="248"/>
      <c r="DH2" s="248"/>
      <c r="DI2" s="248"/>
      <c r="DJ2" s="248"/>
      <c r="DK2" s="248"/>
      <c r="DL2" s="248"/>
      <c r="DM2" s="248"/>
      <c r="DN2" s="248"/>
      <c r="DO2" s="248"/>
      <c r="DP2" s="248"/>
      <c r="DQ2" s="248"/>
      <c r="DR2" s="248"/>
      <c r="DS2" s="248"/>
      <c r="DT2" s="248"/>
      <c r="DU2" s="248"/>
    </row>
    <row r="3" spans="1:128" ht="23.25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744"/>
      <c r="L3" s="745"/>
      <c r="M3" s="746"/>
      <c r="N3" s="746"/>
      <c r="O3" s="746"/>
      <c r="P3" s="746"/>
      <c r="Q3" s="746"/>
      <c r="R3" s="746"/>
      <c r="S3" s="746"/>
      <c r="T3" s="746"/>
      <c r="U3" s="746"/>
    </row>
    <row r="4" spans="1:128" ht="23.25">
      <c r="A4" s="747" t="s">
        <v>443</v>
      </c>
      <c r="B4" s="277"/>
      <c r="C4" s="277"/>
      <c r="D4" s="277"/>
      <c r="E4" s="277"/>
      <c r="F4" s="277"/>
      <c r="G4" s="277"/>
      <c r="H4" s="277"/>
      <c r="I4" s="277"/>
      <c r="J4" s="277"/>
      <c r="K4" s="745"/>
      <c r="L4" s="745"/>
      <c r="M4" s="746"/>
      <c r="N4" s="746"/>
      <c r="O4" s="746"/>
      <c r="P4" s="746"/>
      <c r="Q4" s="746"/>
      <c r="R4" s="746"/>
      <c r="S4" s="746"/>
      <c r="T4" s="746"/>
      <c r="U4" s="746"/>
    </row>
    <row r="5" spans="1:128" hidden="1">
      <c r="A5" s="942" t="s">
        <v>343</v>
      </c>
      <c r="B5" s="851"/>
      <c r="C5" s="851"/>
      <c r="D5" s="851"/>
      <c r="E5" s="851"/>
      <c r="F5" s="851"/>
      <c r="G5" s="851"/>
      <c r="H5" s="851"/>
      <c r="I5" s="851"/>
      <c r="J5" s="851"/>
      <c r="K5" s="851"/>
      <c r="L5" s="851"/>
      <c r="M5" s="851"/>
      <c r="N5" s="851"/>
      <c r="O5" s="851"/>
      <c r="P5" s="851"/>
      <c r="Q5" s="851"/>
      <c r="R5" s="851"/>
      <c r="S5" s="851"/>
      <c r="T5" s="851"/>
      <c r="U5" s="851"/>
      <c r="V5" s="851"/>
      <c r="W5" s="851"/>
      <c r="X5" s="851"/>
      <c r="Y5" s="851"/>
      <c r="Z5" s="851"/>
      <c r="AA5" s="851"/>
      <c r="AB5" s="851"/>
      <c r="AC5" s="851"/>
      <c r="AD5" s="851"/>
      <c r="AE5" s="851"/>
      <c r="AF5" s="851"/>
      <c r="AG5" s="851"/>
      <c r="AH5" s="851"/>
      <c r="AI5" s="851"/>
      <c r="AJ5" s="851"/>
      <c r="AK5" s="851"/>
      <c r="AL5" s="851"/>
      <c r="AM5" s="851"/>
      <c r="AN5" s="851"/>
      <c r="AO5" s="851"/>
      <c r="AP5" s="851"/>
      <c r="AQ5" s="851"/>
      <c r="AR5" s="851"/>
      <c r="AS5" s="851"/>
      <c r="AT5" s="851"/>
      <c r="AU5" s="851"/>
      <c r="AV5" s="851"/>
      <c r="AW5" s="851"/>
      <c r="AX5" s="851"/>
      <c r="AY5" s="851"/>
      <c r="AZ5" s="851"/>
      <c r="BA5" s="851"/>
      <c r="BB5" s="851"/>
      <c r="BC5" s="851"/>
      <c r="BD5" s="851"/>
      <c r="BE5" s="851"/>
      <c r="BF5" s="851"/>
      <c r="BG5" s="851"/>
      <c r="BH5" s="851"/>
      <c r="BI5" s="851"/>
      <c r="BJ5" s="851"/>
      <c r="BK5" s="851"/>
      <c r="BL5" s="851"/>
      <c r="BM5" s="851"/>
      <c r="BN5" s="851"/>
      <c r="BO5" s="851"/>
      <c r="BP5" s="851"/>
      <c r="BQ5" s="851"/>
      <c r="BR5" s="851"/>
      <c r="BS5" s="851"/>
      <c r="BT5" s="851"/>
      <c r="BU5" s="851"/>
      <c r="BV5" s="851"/>
      <c r="BW5" s="851"/>
      <c r="BX5" s="851"/>
      <c r="BY5" s="851"/>
      <c r="BZ5" s="851"/>
      <c r="CA5" s="851"/>
      <c r="CB5" s="851"/>
      <c r="CC5" s="851"/>
      <c r="CD5" s="851"/>
      <c r="CE5" s="851"/>
      <c r="CF5" s="851"/>
      <c r="CG5" s="851"/>
      <c r="CH5" s="851"/>
      <c r="CI5" s="851"/>
      <c r="CJ5" s="851"/>
      <c r="CK5" s="851"/>
      <c r="CL5" s="851"/>
      <c r="CM5" s="851"/>
      <c r="CN5" s="851"/>
      <c r="CO5" s="851"/>
      <c r="CP5" s="851"/>
      <c r="CQ5" s="851"/>
      <c r="CR5" s="851"/>
      <c r="CS5" s="851"/>
      <c r="CT5" s="851"/>
      <c r="CU5" s="851"/>
      <c r="CV5" s="851"/>
      <c r="CW5" s="851"/>
      <c r="CX5" s="851"/>
      <c r="CY5" s="851"/>
      <c r="CZ5" s="851"/>
      <c r="DA5" s="851"/>
      <c r="DB5" s="851"/>
      <c r="DC5" s="851"/>
      <c r="DD5" s="851"/>
      <c r="DE5" s="851"/>
      <c r="DF5" s="851"/>
      <c r="DG5" s="851"/>
      <c r="DH5" s="851"/>
      <c r="DI5" s="851"/>
      <c r="DJ5" s="851"/>
      <c r="DK5" s="851"/>
      <c r="DL5" s="851"/>
      <c r="DM5" s="851"/>
      <c r="DN5" s="851"/>
      <c r="DO5" s="851"/>
      <c r="DP5" s="851"/>
      <c r="DQ5" s="851"/>
      <c r="DR5" s="851"/>
      <c r="DS5" s="851"/>
      <c r="DT5" s="851"/>
      <c r="DU5" s="851"/>
      <c r="DV5" s="851"/>
      <c r="DW5" s="851"/>
      <c r="DX5" s="943"/>
    </row>
    <row r="6" spans="1:128" hidden="1">
      <c r="A6" s="748"/>
    </row>
    <row r="7" spans="1:128" ht="24" hidden="1">
      <c r="A7" s="748"/>
      <c r="B7" s="749" t="s">
        <v>123</v>
      </c>
      <c r="C7" s="749" t="s">
        <v>124</v>
      </c>
      <c r="D7" s="749" t="s">
        <v>125</v>
      </c>
      <c r="E7" s="749" t="s">
        <v>126</v>
      </c>
      <c r="F7" s="749" t="s">
        <v>127</v>
      </c>
      <c r="G7" s="749" t="s">
        <v>128</v>
      </c>
      <c r="H7" s="749" t="s">
        <v>129</v>
      </c>
      <c r="I7" s="749" t="s">
        <v>130</v>
      </c>
      <c r="J7" s="749" t="s">
        <v>310</v>
      </c>
      <c r="K7" s="749" t="s">
        <v>131</v>
      </c>
      <c r="L7" s="749" t="s">
        <v>132</v>
      </c>
      <c r="M7" s="749" t="s">
        <v>133</v>
      </c>
      <c r="N7" s="749" t="s">
        <v>134</v>
      </c>
      <c r="O7" s="749" t="s">
        <v>135</v>
      </c>
      <c r="P7" s="749" t="s">
        <v>136</v>
      </c>
      <c r="Q7" s="749" t="s">
        <v>137</v>
      </c>
      <c r="R7" s="749" t="s">
        <v>138</v>
      </c>
      <c r="S7" s="749" t="s">
        <v>139</v>
      </c>
      <c r="T7" s="749" t="s">
        <v>140</v>
      </c>
      <c r="U7" s="749" t="s">
        <v>141</v>
      </c>
      <c r="V7" s="750" t="s">
        <v>142</v>
      </c>
      <c r="W7" s="750" t="s">
        <v>143</v>
      </c>
      <c r="X7" s="750" t="s">
        <v>144</v>
      </c>
      <c r="Y7" s="750" t="s">
        <v>145</v>
      </c>
      <c r="Z7" s="750" t="s">
        <v>146</v>
      </c>
      <c r="AA7" s="750" t="s">
        <v>147</v>
      </c>
      <c r="AB7" s="750" t="s">
        <v>148</v>
      </c>
      <c r="AC7" s="750" t="s">
        <v>149</v>
      </c>
      <c r="AD7" s="750" t="s">
        <v>150</v>
      </c>
      <c r="AE7" s="750" t="s">
        <v>151</v>
      </c>
      <c r="AF7" s="750" t="s">
        <v>152</v>
      </c>
      <c r="AG7" s="750" t="s">
        <v>153</v>
      </c>
      <c r="AH7" s="750" t="s">
        <v>154</v>
      </c>
      <c r="AI7" s="750" t="s">
        <v>155</v>
      </c>
      <c r="AJ7" s="750" t="s">
        <v>156</v>
      </c>
      <c r="AK7" s="750" t="s">
        <v>157</v>
      </c>
      <c r="AL7" s="750" t="s">
        <v>158</v>
      </c>
      <c r="AM7" s="750" t="s">
        <v>159</v>
      </c>
      <c r="AN7" s="750" t="s">
        <v>160</v>
      </c>
      <c r="AO7" s="750" t="s">
        <v>161</v>
      </c>
      <c r="AP7" s="750" t="s">
        <v>162</v>
      </c>
      <c r="AQ7" s="750" t="s">
        <v>163</v>
      </c>
      <c r="AR7" s="750" t="s">
        <v>164</v>
      </c>
      <c r="AS7" s="750" t="s">
        <v>165</v>
      </c>
      <c r="AT7" s="750" t="s">
        <v>166</v>
      </c>
      <c r="AU7" s="750" t="s">
        <v>167</v>
      </c>
      <c r="AV7" s="750" t="s">
        <v>168</v>
      </c>
      <c r="AW7" s="750" t="s">
        <v>169</v>
      </c>
      <c r="AX7" s="750" t="s">
        <v>170</v>
      </c>
      <c r="AY7" s="750" t="s">
        <v>171</v>
      </c>
      <c r="AZ7" s="750" t="s">
        <v>172</v>
      </c>
      <c r="BA7" s="750" t="s">
        <v>173</v>
      </c>
      <c r="BB7" s="750" t="s">
        <v>174</v>
      </c>
      <c r="BC7" s="750" t="s">
        <v>175</v>
      </c>
      <c r="BD7" s="750" t="s">
        <v>176</v>
      </c>
      <c r="BE7" s="750" t="s">
        <v>177</v>
      </c>
      <c r="BF7" s="750" t="s">
        <v>178</v>
      </c>
      <c r="BG7" s="750" t="s">
        <v>179</v>
      </c>
      <c r="BH7" s="750" t="s">
        <v>180</v>
      </c>
      <c r="BI7" s="750" t="s">
        <v>181</v>
      </c>
      <c r="BJ7" s="750" t="s">
        <v>182</v>
      </c>
      <c r="BK7" s="750" t="s">
        <v>183</v>
      </c>
      <c r="BL7" s="750" t="s">
        <v>184</v>
      </c>
      <c r="BM7" s="750" t="s">
        <v>185</v>
      </c>
      <c r="BN7" s="750" t="s">
        <v>186</v>
      </c>
      <c r="BO7" s="750" t="s">
        <v>187</v>
      </c>
      <c r="BP7" s="750" t="s">
        <v>188</v>
      </c>
      <c r="BQ7" s="750" t="s">
        <v>189</v>
      </c>
      <c r="BR7" s="750" t="s">
        <v>190</v>
      </c>
      <c r="BS7" s="750" t="s">
        <v>191</v>
      </c>
      <c r="BT7" s="750" t="s">
        <v>192</v>
      </c>
      <c r="BU7" s="751" t="s">
        <v>193</v>
      </c>
      <c r="BV7" s="750" t="s">
        <v>194</v>
      </c>
      <c r="BW7" s="750" t="s">
        <v>195</v>
      </c>
      <c r="BX7" s="750" t="s">
        <v>196</v>
      </c>
      <c r="BY7" s="750" t="s">
        <v>197</v>
      </c>
      <c r="BZ7" s="750" t="s">
        <v>198</v>
      </c>
      <c r="CA7" s="750" t="s">
        <v>199</v>
      </c>
      <c r="CB7" s="750" t="s">
        <v>200</v>
      </c>
      <c r="CC7" s="750" t="s">
        <v>201</v>
      </c>
      <c r="CD7" s="750" t="s">
        <v>202</v>
      </c>
      <c r="CE7" s="750" t="s">
        <v>203</v>
      </c>
      <c r="CF7" s="750" t="s">
        <v>204</v>
      </c>
      <c r="CG7" s="750" t="s">
        <v>205</v>
      </c>
      <c r="CH7" s="750" t="s">
        <v>206</v>
      </c>
      <c r="CI7" s="750" t="s">
        <v>207</v>
      </c>
      <c r="CJ7" s="750" t="s">
        <v>208</v>
      </c>
      <c r="CK7" s="750" t="s">
        <v>209</v>
      </c>
      <c r="CL7" s="750" t="s">
        <v>210</v>
      </c>
      <c r="CM7" s="750" t="s">
        <v>211</v>
      </c>
      <c r="CN7" s="750" t="s">
        <v>212</v>
      </c>
      <c r="CO7" s="752" t="s">
        <v>213</v>
      </c>
      <c r="CP7" s="750" t="s">
        <v>214</v>
      </c>
      <c r="CQ7" s="750" t="s">
        <v>215</v>
      </c>
      <c r="CR7" s="750" t="s">
        <v>216</v>
      </c>
      <c r="CS7" s="750" t="s">
        <v>217</v>
      </c>
      <c r="CT7" s="750" t="s">
        <v>218</v>
      </c>
      <c r="CU7" s="750" t="s">
        <v>219</v>
      </c>
      <c r="CV7" s="750" t="s">
        <v>220</v>
      </c>
      <c r="CW7" s="750" t="s">
        <v>221</v>
      </c>
      <c r="CX7" s="750" t="s">
        <v>222</v>
      </c>
      <c r="CY7" s="750" t="s">
        <v>223</v>
      </c>
      <c r="CZ7" s="750" t="s">
        <v>224</v>
      </c>
      <c r="DA7" s="750" t="s">
        <v>225</v>
      </c>
      <c r="DB7" s="750" t="s">
        <v>226</v>
      </c>
      <c r="DC7" s="750" t="s">
        <v>227</v>
      </c>
      <c r="DD7" s="750" t="s">
        <v>228</v>
      </c>
      <c r="DE7" s="750" t="s">
        <v>229</v>
      </c>
      <c r="DF7" s="750" t="s">
        <v>230</v>
      </c>
      <c r="DG7" s="750" t="s">
        <v>231</v>
      </c>
      <c r="DH7" s="750" t="s">
        <v>232</v>
      </c>
      <c r="DI7" s="750" t="s">
        <v>295</v>
      </c>
      <c r="DJ7" s="750" t="s">
        <v>297</v>
      </c>
      <c r="DK7" s="750" t="s">
        <v>311</v>
      </c>
      <c r="DL7" s="750" t="s">
        <v>312</v>
      </c>
      <c r="DM7" s="750" t="s">
        <v>313</v>
      </c>
      <c r="DN7" s="750" t="s">
        <v>314</v>
      </c>
      <c r="DO7" s="750" t="s">
        <v>315</v>
      </c>
      <c r="DP7" s="750" t="s">
        <v>316</v>
      </c>
      <c r="DQ7" s="750" t="s">
        <v>317</v>
      </c>
      <c r="DR7" s="750" t="s">
        <v>318</v>
      </c>
      <c r="DS7" s="750" t="s">
        <v>319</v>
      </c>
      <c r="DT7" s="750" t="s">
        <v>320</v>
      </c>
      <c r="DU7" s="750" t="s">
        <v>321</v>
      </c>
      <c r="DV7" s="750" t="s">
        <v>322</v>
      </c>
      <c r="DW7" s="33" t="s">
        <v>383</v>
      </c>
      <c r="DX7" s="753" t="s">
        <v>382</v>
      </c>
    </row>
    <row r="8" spans="1:128" ht="36" hidden="1">
      <c r="A8" s="754" t="s">
        <v>323</v>
      </c>
      <c r="B8" s="755">
        <v>1148</v>
      </c>
      <c r="C8" s="755">
        <v>1169</v>
      </c>
      <c r="D8" s="755">
        <v>1220</v>
      </c>
      <c r="E8" s="755">
        <v>1296</v>
      </c>
      <c r="F8" s="755">
        <v>1343</v>
      </c>
      <c r="G8" s="755">
        <v>1348</v>
      </c>
      <c r="H8" s="755">
        <v>1425</v>
      </c>
      <c r="I8" s="755">
        <v>1540</v>
      </c>
      <c r="J8" s="755">
        <v>1754</v>
      </c>
      <c r="K8" s="755">
        <v>1128</v>
      </c>
      <c r="L8" s="755">
        <v>1117</v>
      </c>
      <c r="M8" s="755">
        <v>1129</v>
      </c>
      <c r="N8" s="755">
        <v>1136</v>
      </c>
      <c r="O8" s="755">
        <v>1223</v>
      </c>
      <c r="P8" s="755">
        <v>1164</v>
      </c>
      <c r="Q8" s="755">
        <v>1152</v>
      </c>
      <c r="R8" s="755">
        <v>1131</v>
      </c>
      <c r="S8" s="755">
        <v>1138</v>
      </c>
      <c r="T8" s="755">
        <v>1144</v>
      </c>
      <c r="U8" s="755">
        <v>1169</v>
      </c>
      <c r="V8" s="755">
        <v>1144</v>
      </c>
      <c r="W8" s="756">
        <v>1169</v>
      </c>
      <c r="X8" s="756">
        <v>1145</v>
      </c>
      <c r="Y8" s="756">
        <v>1169</v>
      </c>
      <c r="Z8" s="756">
        <v>1147</v>
      </c>
      <c r="AA8" s="756">
        <v>1246</v>
      </c>
      <c r="AB8" s="756">
        <v>1170</v>
      </c>
      <c r="AC8" s="756">
        <v>1152</v>
      </c>
      <c r="AD8" s="756">
        <v>1150</v>
      </c>
      <c r="AE8" s="756">
        <v>1144</v>
      </c>
      <c r="AF8" s="756">
        <v>1158</v>
      </c>
      <c r="AG8" s="756">
        <v>1184</v>
      </c>
      <c r="AH8" s="756">
        <v>1192</v>
      </c>
      <c r="AI8" s="756">
        <v>1179</v>
      </c>
      <c r="AJ8" s="756">
        <v>1186</v>
      </c>
      <c r="AK8" s="756">
        <v>1213</v>
      </c>
      <c r="AL8" s="756">
        <v>1197</v>
      </c>
      <c r="AM8" s="756">
        <v>1314</v>
      </c>
      <c r="AN8" s="756">
        <v>1226</v>
      </c>
      <c r="AO8" s="756">
        <v>1216</v>
      </c>
      <c r="AP8" s="756">
        <v>1213</v>
      </c>
      <c r="AQ8" s="756">
        <v>1211</v>
      </c>
      <c r="AR8" s="756">
        <v>1223</v>
      </c>
      <c r="AS8" s="756">
        <v>1255</v>
      </c>
      <c r="AT8" s="756">
        <v>1211</v>
      </c>
      <c r="AU8" s="756">
        <v>1264</v>
      </c>
      <c r="AV8" s="756">
        <v>1262</v>
      </c>
      <c r="AW8" s="756">
        <v>1277</v>
      </c>
      <c r="AX8" s="756">
        <v>1291</v>
      </c>
      <c r="AY8" s="756">
        <v>1413</v>
      </c>
      <c r="AZ8" s="756">
        <v>1303</v>
      </c>
      <c r="BA8" s="756">
        <v>1299</v>
      </c>
      <c r="BB8" s="756">
        <v>1291</v>
      </c>
      <c r="BC8" s="756">
        <v>1276</v>
      </c>
      <c r="BD8" s="756">
        <v>1298</v>
      </c>
      <c r="BE8" s="756">
        <v>1293</v>
      </c>
      <c r="BF8" s="756">
        <v>1282</v>
      </c>
      <c r="BG8" s="756">
        <v>1316</v>
      </c>
      <c r="BH8" s="756">
        <v>1317</v>
      </c>
      <c r="BI8" s="756">
        <v>1322</v>
      </c>
      <c r="BJ8" s="756">
        <v>1338</v>
      </c>
      <c r="BK8" s="756">
        <v>1451</v>
      </c>
      <c r="BL8" s="756">
        <v>1336</v>
      </c>
      <c r="BM8" s="756">
        <v>1353</v>
      </c>
      <c r="BN8" s="756">
        <v>1330</v>
      </c>
      <c r="BO8" s="756">
        <v>1327</v>
      </c>
      <c r="BP8" s="756">
        <v>1346</v>
      </c>
      <c r="BQ8" s="756">
        <v>1344</v>
      </c>
      <c r="BR8" s="756">
        <v>1338</v>
      </c>
      <c r="BS8" s="756">
        <v>1363</v>
      </c>
      <c r="BT8" s="756">
        <v>1358</v>
      </c>
      <c r="BU8" s="757">
        <v>1317</v>
      </c>
      <c r="BV8" s="756">
        <v>1307</v>
      </c>
      <c r="BW8" s="756">
        <v>1368</v>
      </c>
      <c r="BX8" s="756">
        <v>1337</v>
      </c>
      <c r="BY8" s="756">
        <v>1351</v>
      </c>
      <c r="BZ8" s="756">
        <v>1329</v>
      </c>
      <c r="CA8" s="756">
        <v>1342</v>
      </c>
      <c r="CB8" s="756">
        <v>1355</v>
      </c>
      <c r="CC8" s="756">
        <v>1363</v>
      </c>
      <c r="CD8" s="756">
        <v>1383</v>
      </c>
      <c r="CE8" s="756">
        <v>1375</v>
      </c>
      <c r="CF8" s="756">
        <v>1385</v>
      </c>
      <c r="CG8" s="756">
        <v>1429</v>
      </c>
      <c r="CH8" s="756">
        <v>1409</v>
      </c>
      <c r="CI8" s="756">
        <v>1442</v>
      </c>
      <c r="CJ8" s="756">
        <v>1431</v>
      </c>
      <c r="CK8" s="756">
        <v>1427</v>
      </c>
      <c r="CL8" s="756">
        <v>1418</v>
      </c>
      <c r="CM8" s="756">
        <v>1433</v>
      </c>
      <c r="CN8" s="756">
        <v>1430</v>
      </c>
      <c r="CO8" s="758">
        <v>1482</v>
      </c>
      <c r="CP8" s="756">
        <v>1436</v>
      </c>
      <c r="CQ8" s="756">
        <v>1417</v>
      </c>
      <c r="CR8" s="756">
        <v>1477</v>
      </c>
      <c r="CS8" s="756">
        <v>1507</v>
      </c>
      <c r="CT8" s="756">
        <v>1515</v>
      </c>
      <c r="CU8" s="756">
        <v>1574</v>
      </c>
      <c r="CV8" s="756">
        <v>1541</v>
      </c>
      <c r="CW8" s="755">
        <v>1543</v>
      </c>
      <c r="CX8" s="755">
        <v>1566</v>
      </c>
      <c r="CY8" s="755">
        <v>1561</v>
      </c>
      <c r="CZ8" s="755">
        <v>1568</v>
      </c>
      <c r="DA8" s="755">
        <v>1605</v>
      </c>
      <c r="DB8" s="755">
        <v>1597</v>
      </c>
      <c r="DC8" s="755">
        <v>1676</v>
      </c>
      <c r="DD8" s="755">
        <v>1669</v>
      </c>
      <c r="DE8" s="755">
        <v>1760</v>
      </c>
      <c r="DF8" s="755">
        <v>1719</v>
      </c>
      <c r="DG8" s="755">
        <v>1766</v>
      </c>
      <c r="DH8" s="755">
        <v>1750</v>
      </c>
      <c r="DI8" s="755">
        <v>1752</v>
      </c>
      <c r="DJ8" s="755">
        <v>1779</v>
      </c>
      <c r="DK8" s="755">
        <v>1770</v>
      </c>
      <c r="DL8" s="755">
        <v>1794</v>
      </c>
      <c r="DM8" s="755">
        <v>1850</v>
      </c>
      <c r="DN8" s="755">
        <v>1764</v>
      </c>
      <c r="DO8" s="755">
        <v>1849</v>
      </c>
      <c r="DP8" s="755">
        <v>1851</v>
      </c>
      <c r="DQ8" s="755">
        <v>1906</v>
      </c>
      <c r="DR8" s="755">
        <v>1929</v>
      </c>
      <c r="DS8" s="755">
        <v>1987</v>
      </c>
      <c r="DT8" s="755">
        <v>1950</v>
      </c>
      <c r="DU8" s="755">
        <v>1979</v>
      </c>
      <c r="DV8" s="755"/>
      <c r="DX8" s="759">
        <v>1223</v>
      </c>
    </row>
    <row r="9" spans="1:128" ht="36" hidden="1">
      <c r="A9" s="760" t="s">
        <v>423</v>
      </c>
      <c r="B9" s="759"/>
      <c r="C9" s="759"/>
      <c r="D9" s="759"/>
      <c r="E9" s="759"/>
      <c r="F9" s="759"/>
      <c r="G9" s="759"/>
      <c r="H9" s="759"/>
      <c r="I9" s="759"/>
      <c r="J9" s="759"/>
      <c r="K9" s="761">
        <f>K8/1128*100</f>
        <v>100</v>
      </c>
      <c r="L9" s="762">
        <f t="shared" ref="L9:BW9" si="0">L8/1128*100</f>
        <v>99.024822695035468</v>
      </c>
      <c r="M9" s="762">
        <f t="shared" si="0"/>
        <v>100.08865248226951</v>
      </c>
      <c r="N9" s="762">
        <f t="shared" si="0"/>
        <v>100.70921985815602</v>
      </c>
      <c r="O9" s="762">
        <f t="shared" si="0"/>
        <v>108.42198581560282</v>
      </c>
      <c r="P9" s="762">
        <f t="shared" si="0"/>
        <v>103.19148936170212</v>
      </c>
      <c r="Q9" s="762">
        <f t="shared" si="0"/>
        <v>102.12765957446808</v>
      </c>
      <c r="R9" s="762">
        <f t="shared" si="0"/>
        <v>100.2659574468085</v>
      </c>
      <c r="S9" s="762">
        <f t="shared" si="0"/>
        <v>100.88652482269505</v>
      </c>
      <c r="T9" s="762">
        <f t="shared" si="0"/>
        <v>101.41843971631207</v>
      </c>
      <c r="U9" s="762">
        <f t="shared" si="0"/>
        <v>103.63475177304964</v>
      </c>
      <c r="V9" s="762">
        <f t="shared" si="0"/>
        <v>101.41843971631207</v>
      </c>
      <c r="W9" s="762">
        <f t="shared" si="0"/>
        <v>103.63475177304964</v>
      </c>
      <c r="X9" s="762">
        <f t="shared" si="0"/>
        <v>101.50709219858156</v>
      </c>
      <c r="Y9" s="762">
        <f t="shared" si="0"/>
        <v>103.63475177304964</v>
      </c>
      <c r="Z9" s="762">
        <f t="shared" si="0"/>
        <v>101.68439716312056</v>
      </c>
      <c r="AA9" s="762">
        <f t="shared" si="0"/>
        <v>110.46099290780143</v>
      </c>
      <c r="AB9" s="762">
        <f t="shared" si="0"/>
        <v>103.72340425531914</v>
      </c>
      <c r="AC9" s="762">
        <f t="shared" si="0"/>
        <v>102.12765957446808</v>
      </c>
      <c r="AD9" s="762">
        <f t="shared" si="0"/>
        <v>101.95035460992908</v>
      </c>
      <c r="AE9" s="762">
        <f t="shared" si="0"/>
        <v>101.41843971631207</v>
      </c>
      <c r="AF9" s="762">
        <f t="shared" si="0"/>
        <v>102.65957446808511</v>
      </c>
      <c r="AG9" s="762">
        <f t="shared" si="0"/>
        <v>104.9645390070922</v>
      </c>
      <c r="AH9" s="762">
        <f t="shared" si="0"/>
        <v>105.67375886524823</v>
      </c>
      <c r="AI9" s="762">
        <f t="shared" si="0"/>
        <v>104.52127659574468</v>
      </c>
      <c r="AJ9" s="762">
        <f t="shared" si="0"/>
        <v>105.1418439716312</v>
      </c>
      <c r="AK9" s="762">
        <f t="shared" si="0"/>
        <v>107.5354609929078</v>
      </c>
      <c r="AL9" s="762">
        <f t="shared" si="0"/>
        <v>106.11702127659575</v>
      </c>
      <c r="AM9" s="762">
        <f t="shared" si="0"/>
        <v>116.48936170212767</v>
      </c>
      <c r="AN9" s="762">
        <f t="shared" si="0"/>
        <v>108.68794326241135</v>
      </c>
      <c r="AO9" s="762">
        <f t="shared" si="0"/>
        <v>107.80141843971631</v>
      </c>
      <c r="AP9" s="762">
        <f t="shared" si="0"/>
        <v>107.5354609929078</v>
      </c>
      <c r="AQ9" s="762">
        <f t="shared" si="0"/>
        <v>107.3581560283688</v>
      </c>
      <c r="AR9" s="762">
        <f t="shared" si="0"/>
        <v>108.42198581560282</v>
      </c>
      <c r="AS9" s="762">
        <f t="shared" si="0"/>
        <v>111.25886524822694</v>
      </c>
      <c r="AT9" s="762">
        <f t="shared" si="0"/>
        <v>107.3581560283688</v>
      </c>
      <c r="AU9" s="762">
        <f t="shared" si="0"/>
        <v>112.05673758865248</v>
      </c>
      <c r="AV9" s="762">
        <f t="shared" si="0"/>
        <v>111.87943262411349</v>
      </c>
      <c r="AW9" s="762">
        <f t="shared" si="0"/>
        <v>113.20921985815602</v>
      </c>
      <c r="AX9" s="762">
        <f t="shared" si="0"/>
        <v>114.45035460992908</v>
      </c>
      <c r="AY9" s="762">
        <f t="shared" si="0"/>
        <v>125.2659574468085</v>
      </c>
      <c r="AZ9" s="762">
        <f t="shared" si="0"/>
        <v>115.51418439716312</v>
      </c>
      <c r="BA9" s="762">
        <f t="shared" si="0"/>
        <v>115.15957446808511</v>
      </c>
      <c r="BB9" s="762">
        <f t="shared" si="0"/>
        <v>114.45035460992908</v>
      </c>
      <c r="BC9" s="762">
        <f t="shared" si="0"/>
        <v>113.12056737588651</v>
      </c>
      <c r="BD9" s="762">
        <f t="shared" si="0"/>
        <v>115.07092198581562</v>
      </c>
      <c r="BE9" s="762">
        <f t="shared" si="0"/>
        <v>114.62765957446808</v>
      </c>
      <c r="BF9" s="762">
        <f t="shared" si="0"/>
        <v>113.65248226950355</v>
      </c>
      <c r="BG9" s="762">
        <f t="shared" si="0"/>
        <v>116.66666666666667</v>
      </c>
      <c r="BH9" s="762">
        <f t="shared" si="0"/>
        <v>116.75531914893618</v>
      </c>
      <c r="BI9" s="762">
        <f t="shared" si="0"/>
        <v>117.19858156028369</v>
      </c>
      <c r="BJ9" s="762">
        <f t="shared" si="0"/>
        <v>118.61702127659575</v>
      </c>
      <c r="BK9" s="762">
        <f t="shared" si="0"/>
        <v>128.63475177304963</v>
      </c>
      <c r="BL9" s="762">
        <f t="shared" si="0"/>
        <v>118.43971631205675</v>
      </c>
      <c r="BM9" s="762">
        <f t="shared" si="0"/>
        <v>119.94680851063831</v>
      </c>
      <c r="BN9" s="762">
        <f t="shared" si="0"/>
        <v>117.9078014184397</v>
      </c>
      <c r="BO9" s="762">
        <f t="shared" si="0"/>
        <v>117.6418439716312</v>
      </c>
      <c r="BP9" s="762">
        <f t="shared" si="0"/>
        <v>119.32624113475177</v>
      </c>
      <c r="BQ9" s="762">
        <f t="shared" si="0"/>
        <v>119.14893617021276</v>
      </c>
      <c r="BR9" s="762">
        <f t="shared" si="0"/>
        <v>118.61702127659575</v>
      </c>
      <c r="BS9" s="762">
        <f t="shared" si="0"/>
        <v>120.83333333333333</v>
      </c>
      <c r="BT9" s="762">
        <f t="shared" si="0"/>
        <v>120.39007092198581</v>
      </c>
      <c r="BU9" s="763">
        <f t="shared" si="0"/>
        <v>116.75531914893618</v>
      </c>
      <c r="BV9" s="762">
        <f t="shared" si="0"/>
        <v>115.86879432624113</v>
      </c>
      <c r="BW9" s="762">
        <f t="shared" si="0"/>
        <v>121.27659574468086</v>
      </c>
      <c r="BX9" s="762">
        <f t="shared" ref="BX9:DU9" si="1">BX8/1128*100</f>
        <v>118.52836879432624</v>
      </c>
      <c r="BY9" s="762">
        <f t="shared" si="1"/>
        <v>119.7695035460993</v>
      </c>
      <c r="BZ9" s="762">
        <f t="shared" si="1"/>
        <v>117.81914893617021</v>
      </c>
      <c r="CA9" s="762">
        <f t="shared" si="1"/>
        <v>118.97163120567376</v>
      </c>
      <c r="CB9" s="762">
        <f t="shared" si="1"/>
        <v>120.12411347517731</v>
      </c>
      <c r="CC9" s="762">
        <f t="shared" si="1"/>
        <v>120.83333333333333</v>
      </c>
      <c r="CD9" s="762">
        <f t="shared" si="1"/>
        <v>122.60638297872339</v>
      </c>
      <c r="CE9" s="762">
        <f t="shared" si="1"/>
        <v>121.89716312056737</v>
      </c>
      <c r="CF9" s="762">
        <f t="shared" si="1"/>
        <v>122.78368794326242</v>
      </c>
      <c r="CG9" s="762">
        <f t="shared" si="1"/>
        <v>126.68439716312056</v>
      </c>
      <c r="CH9" s="762">
        <f t="shared" si="1"/>
        <v>124.91134751773049</v>
      </c>
      <c r="CI9" s="762">
        <f t="shared" si="1"/>
        <v>127.83687943262412</v>
      </c>
      <c r="CJ9" s="762">
        <f t="shared" si="1"/>
        <v>126.86170212765957</v>
      </c>
      <c r="CK9" s="762">
        <f t="shared" si="1"/>
        <v>126.50709219858156</v>
      </c>
      <c r="CL9" s="762">
        <f t="shared" si="1"/>
        <v>125.70921985815602</v>
      </c>
      <c r="CM9" s="762">
        <f t="shared" si="1"/>
        <v>127.03900709219857</v>
      </c>
      <c r="CN9" s="762">
        <f t="shared" si="1"/>
        <v>126.77304964539007</v>
      </c>
      <c r="CO9" s="764">
        <f t="shared" si="1"/>
        <v>131.38297872340425</v>
      </c>
      <c r="CP9" s="762">
        <f t="shared" si="1"/>
        <v>127.30496453900709</v>
      </c>
      <c r="CQ9" s="762">
        <f t="shared" si="1"/>
        <v>125.62056737588651</v>
      </c>
      <c r="CR9" s="762">
        <f t="shared" si="1"/>
        <v>130.93971631205673</v>
      </c>
      <c r="CS9" s="762">
        <f t="shared" si="1"/>
        <v>133.59929078014184</v>
      </c>
      <c r="CT9" s="762">
        <f t="shared" si="1"/>
        <v>134.30851063829786</v>
      </c>
      <c r="CU9" s="762">
        <f t="shared" si="1"/>
        <v>139.53900709219857</v>
      </c>
      <c r="CV9" s="762">
        <f t="shared" si="1"/>
        <v>136.61347517730496</v>
      </c>
      <c r="CW9" s="762">
        <f t="shared" si="1"/>
        <v>136.79078014184398</v>
      </c>
      <c r="CX9" s="762">
        <f t="shared" si="1"/>
        <v>138.82978723404256</v>
      </c>
      <c r="CY9" s="762">
        <f t="shared" si="1"/>
        <v>138.38652482269504</v>
      </c>
      <c r="CZ9" s="762">
        <f t="shared" si="1"/>
        <v>139.00709219858157</v>
      </c>
      <c r="DA9" s="762">
        <f t="shared" si="1"/>
        <v>142.28723404255319</v>
      </c>
      <c r="DB9" s="762">
        <f t="shared" si="1"/>
        <v>141.57801418439718</v>
      </c>
      <c r="DC9" s="762">
        <f t="shared" si="1"/>
        <v>148.58156028368793</v>
      </c>
      <c r="DD9" s="762">
        <f t="shared" si="1"/>
        <v>147.96099290780143</v>
      </c>
      <c r="DE9" s="762">
        <f t="shared" si="1"/>
        <v>156.02836879432624</v>
      </c>
      <c r="DF9" s="762">
        <f t="shared" si="1"/>
        <v>152.39361702127661</v>
      </c>
      <c r="DG9" s="762">
        <f t="shared" si="1"/>
        <v>156.56028368794327</v>
      </c>
      <c r="DH9" s="762">
        <f t="shared" si="1"/>
        <v>155.1418439716312</v>
      </c>
      <c r="DI9" s="762">
        <f t="shared" si="1"/>
        <v>155.31914893617019</v>
      </c>
      <c r="DJ9" s="762">
        <f t="shared" si="1"/>
        <v>157.71276595744681</v>
      </c>
      <c r="DK9" s="762">
        <f t="shared" si="1"/>
        <v>156.91489361702128</v>
      </c>
      <c r="DL9" s="762">
        <f t="shared" si="1"/>
        <v>159.04255319148936</v>
      </c>
      <c r="DM9" s="762">
        <f t="shared" si="1"/>
        <v>164.00709219858157</v>
      </c>
      <c r="DN9" s="762">
        <f t="shared" si="1"/>
        <v>156.38297872340425</v>
      </c>
      <c r="DO9" s="762">
        <f t="shared" si="1"/>
        <v>163.91843971631207</v>
      </c>
      <c r="DP9" s="762">
        <f t="shared" si="1"/>
        <v>164.09574468085106</v>
      </c>
      <c r="DQ9" s="762">
        <f t="shared" si="1"/>
        <v>168.97163120567376</v>
      </c>
      <c r="DR9" s="762">
        <f t="shared" si="1"/>
        <v>171.01063829787233</v>
      </c>
      <c r="DS9" s="762">
        <f t="shared" si="1"/>
        <v>176.15248226950357</v>
      </c>
      <c r="DT9" s="762">
        <f t="shared" si="1"/>
        <v>172.87234042553192</v>
      </c>
      <c r="DU9" s="762">
        <f t="shared" si="1"/>
        <v>175.44326241134752</v>
      </c>
      <c r="DV9" s="765">
        <v>175.44</v>
      </c>
      <c r="DW9" s="33" t="s">
        <v>383</v>
      </c>
      <c r="DX9" s="766">
        <v>175.44</v>
      </c>
    </row>
    <row r="10" spans="1:128" ht="8.25" hidden="1" customHeight="1">
      <c r="A10" s="767"/>
      <c r="B10" s="768" t="s">
        <v>123</v>
      </c>
      <c r="C10" s="768" t="s">
        <v>124</v>
      </c>
      <c r="D10" s="768" t="s">
        <v>125</v>
      </c>
      <c r="E10" s="768" t="s">
        <v>126</v>
      </c>
      <c r="F10" s="768" t="s">
        <v>127</v>
      </c>
      <c r="G10" s="768" t="s">
        <v>128</v>
      </c>
      <c r="H10" s="768" t="s">
        <v>129</v>
      </c>
      <c r="I10" s="768" t="s">
        <v>130</v>
      </c>
      <c r="J10" s="768" t="s">
        <v>310</v>
      </c>
      <c r="K10" s="769" t="s">
        <v>131</v>
      </c>
      <c r="L10" s="770" t="s">
        <v>132</v>
      </c>
      <c r="M10" s="770" t="s">
        <v>133</v>
      </c>
      <c r="N10" s="770" t="s">
        <v>134</v>
      </c>
      <c r="O10" s="770" t="s">
        <v>135</v>
      </c>
      <c r="P10" s="770" t="s">
        <v>136</v>
      </c>
      <c r="Q10" s="770" t="s">
        <v>137</v>
      </c>
      <c r="R10" s="770" t="s">
        <v>138</v>
      </c>
      <c r="S10" s="770" t="s">
        <v>139</v>
      </c>
      <c r="T10" s="770" t="s">
        <v>140</v>
      </c>
      <c r="U10" s="770" t="s">
        <v>141</v>
      </c>
      <c r="V10" s="770" t="s">
        <v>142</v>
      </c>
      <c r="W10" s="770" t="s">
        <v>143</v>
      </c>
      <c r="X10" s="770" t="s">
        <v>144</v>
      </c>
      <c r="Y10" s="770" t="s">
        <v>145</v>
      </c>
      <c r="Z10" s="770" t="s">
        <v>146</v>
      </c>
      <c r="AA10" s="770" t="s">
        <v>147</v>
      </c>
      <c r="AB10" s="770" t="s">
        <v>148</v>
      </c>
      <c r="AC10" s="770" t="s">
        <v>149</v>
      </c>
      <c r="AD10" s="770" t="s">
        <v>150</v>
      </c>
      <c r="AE10" s="770" t="s">
        <v>151</v>
      </c>
      <c r="AF10" s="770" t="s">
        <v>152</v>
      </c>
      <c r="AG10" s="770" t="s">
        <v>153</v>
      </c>
      <c r="AH10" s="770" t="s">
        <v>154</v>
      </c>
      <c r="AI10" s="770" t="s">
        <v>155</v>
      </c>
      <c r="AJ10" s="770" t="s">
        <v>156</v>
      </c>
      <c r="AK10" s="770" t="s">
        <v>157</v>
      </c>
      <c r="AL10" s="770" t="s">
        <v>158</v>
      </c>
      <c r="AM10" s="770" t="s">
        <v>159</v>
      </c>
      <c r="AN10" s="770" t="s">
        <v>160</v>
      </c>
      <c r="AO10" s="770" t="s">
        <v>161</v>
      </c>
      <c r="AP10" s="770" t="s">
        <v>162</v>
      </c>
      <c r="AQ10" s="770" t="s">
        <v>163</v>
      </c>
      <c r="AR10" s="770" t="s">
        <v>164</v>
      </c>
      <c r="AS10" s="770" t="s">
        <v>165</v>
      </c>
      <c r="AT10" s="770" t="s">
        <v>166</v>
      </c>
      <c r="AU10" s="770" t="s">
        <v>167</v>
      </c>
      <c r="AV10" s="770" t="s">
        <v>168</v>
      </c>
      <c r="AW10" s="770" t="s">
        <v>169</v>
      </c>
      <c r="AX10" s="770" t="s">
        <v>170</v>
      </c>
      <c r="AY10" s="770" t="s">
        <v>171</v>
      </c>
      <c r="AZ10" s="770" t="s">
        <v>172</v>
      </c>
      <c r="BA10" s="770" t="s">
        <v>173</v>
      </c>
      <c r="BB10" s="770" t="s">
        <v>174</v>
      </c>
      <c r="BC10" s="770" t="s">
        <v>175</v>
      </c>
      <c r="BD10" s="770" t="s">
        <v>176</v>
      </c>
      <c r="BE10" s="770" t="s">
        <v>177</v>
      </c>
      <c r="BF10" s="770" t="s">
        <v>178</v>
      </c>
      <c r="BG10" s="770" t="s">
        <v>179</v>
      </c>
      <c r="BH10" s="770" t="s">
        <v>180</v>
      </c>
      <c r="BI10" s="770" t="s">
        <v>181</v>
      </c>
      <c r="BJ10" s="770" t="s">
        <v>182</v>
      </c>
      <c r="BK10" s="770" t="s">
        <v>183</v>
      </c>
      <c r="BL10" s="770" t="s">
        <v>184</v>
      </c>
      <c r="BM10" s="770" t="s">
        <v>185</v>
      </c>
      <c r="BN10" s="770" t="s">
        <v>186</v>
      </c>
      <c r="BO10" s="770" t="s">
        <v>187</v>
      </c>
      <c r="BP10" s="770" t="s">
        <v>188</v>
      </c>
      <c r="BQ10" s="770" t="s">
        <v>189</v>
      </c>
      <c r="BR10" s="770" t="s">
        <v>190</v>
      </c>
      <c r="BS10" s="770" t="s">
        <v>233</v>
      </c>
      <c r="BT10" s="770" t="s">
        <v>234</v>
      </c>
      <c r="BU10" s="771" t="s">
        <v>235</v>
      </c>
      <c r="BV10" s="770" t="s">
        <v>236</v>
      </c>
      <c r="BW10" s="770" t="s">
        <v>237</v>
      </c>
      <c r="BX10" s="770" t="s">
        <v>238</v>
      </c>
      <c r="BY10" s="770" t="s">
        <v>239</v>
      </c>
      <c r="BZ10" s="770" t="s">
        <v>240</v>
      </c>
      <c r="CA10" s="770" t="s">
        <v>241</v>
      </c>
      <c r="CB10" s="770" t="s">
        <v>242</v>
      </c>
      <c r="CC10" s="770" t="s">
        <v>243</v>
      </c>
      <c r="CD10" s="770" t="s">
        <v>244</v>
      </c>
      <c r="CE10" s="770" t="s">
        <v>245</v>
      </c>
      <c r="CF10" s="770" t="s">
        <v>246</v>
      </c>
      <c r="CG10" s="770" t="s">
        <v>247</v>
      </c>
      <c r="CH10" s="770" t="s">
        <v>248</v>
      </c>
      <c r="CI10" s="770" t="s">
        <v>249</v>
      </c>
      <c r="CJ10" s="770" t="s">
        <v>250</v>
      </c>
      <c r="CK10" s="770" t="s">
        <v>251</v>
      </c>
      <c r="CL10" s="770" t="s">
        <v>252</v>
      </c>
      <c r="CM10" s="770" t="s">
        <v>253</v>
      </c>
      <c r="CN10" s="770" t="s">
        <v>254</v>
      </c>
      <c r="CO10" s="772" t="s">
        <v>255</v>
      </c>
      <c r="CP10" s="770" t="s">
        <v>256</v>
      </c>
      <c r="CQ10" s="770" t="s">
        <v>257</v>
      </c>
      <c r="CR10" s="770" t="s">
        <v>258</v>
      </c>
      <c r="CS10" s="770" t="s">
        <v>259</v>
      </c>
      <c r="CT10" s="770" t="s">
        <v>260</v>
      </c>
      <c r="CU10" s="770" t="s">
        <v>261</v>
      </c>
      <c r="CV10" s="770" t="s">
        <v>262</v>
      </c>
      <c r="CW10" s="770" t="s">
        <v>263</v>
      </c>
      <c r="CX10" s="770" t="s">
        <v>264</v>
      </c>
      <c r="CY10" s="770" t="s">
        <v>265</v>
      </c>
      <c r="CZ10" s="770" t="s">
        <v>266</v>
      </c>
      <c r="DA10" s="770" t="s">
        <v>267</v>
      </c>
      <c r="DB10" s="770" t="s">
        <v>268</v>
      </c>
      <c r="DC10" s="770" t="s">
        <v>269</v>
      </c>
      <c r="DD10" s="770" t="s">
        <v>270</v>
      </c>
      <c r="DE10" s="770" t="s">
        <v>271</v>
      </c>
      <c r="DF10" s="770" t="s">
        <v>272</v>
      </c>
      <c r="DG10" s="770" t="s">
        <v>273</v>
      </c>
      <c r="DH10" s="770" t="s">
        <v>274</v>
      </c>
      <c r="DI10" s="770" t="s">
        <v>275</v>
      </c>
      <c r="DJ10" s="770" t="s">
        <v>298</v>
      </c>
      <c r="DK10" s="770" t="s">
        <v>299</v>
      </c>
      <c r="DL10" s="770" t="s">
        <v>324</v>
      </c>
      <c r="DM10" s="770" t="s">
        <v>325</v>
      </c>
      <c r="DN10" s="770" t="s">
        <v>326</v>
      </c>
      <c r="DO10" s="770" t="s">
        <v>327</v>
      </c>
      <c r="DP10" s="770" t="s">
        <v>328</v>
      </c>
      <c r="DQ10" s="770" t="s">
        <v>329</v>
      </c>
      <c r="DR10" s="770" t="s">
        <v>330</v>
      </c>
      <c r="DS10" s="770" t="s">
        <v>331</v>
      </c>
      <c r="DT10" s="770" t="s">
        <v>332</v>
      </c>
      <c r="DU10" s="770" t="s">
        <v>333</v>
      </c>
      <c r="DV10" s="773" t="s">
        <v>322</v>
      </c>
      <c r="DW10" s="33" t="s">
        <v>383</v>
      </c>
      <c r="DX10" s="774" t="s">
        <v>135</v>
      </c>
    </row>
    <row r="11" spans="1:128" ht="24.75" hidden="1">
      <c r="A11" s="775" t="s">
        <v>334</v>
      </c>
      <c r="B11" s="776">
        <v>100</v>
      </c>
      <c r="C11" s="776">
        <v>100</v>
      </c>
      <c r="D11" s="776">
        <v>100</v>
      </c>
      <c r="E11" s="776">
        <v>100</v>
      </c>
      <c r="F11" s="776">
        <v>100</v>
      </c>
      <c r="G11" s="776">
        <v>100</v>
      </c>
      <c r="H11" s="776">
        <v>100</v>
      </c>
      <c r="I11" s="776">
        <v>100</v>
      </c>
      <c r="J11" s="776">
        <v>100</v>
      </c>
      <c r="K11" s="777">
        <v>99</v>
      </c>
      <c r="L11" s="778">
        <v>99</v>
      </c>
      <c r="M11" s="778">
        <v>99</v>
      </c>
      <c r="N11" s="778">
        <v>99</v>
      </c>
      <c r="O11" s="778">
        <v>99</v>
      </c>
      <c r="P11" s="778">
        <v>99</v>
      </c>
      <c r="Q11" s="778">
        <v>99</v>
      </c>
      <c r="R11" s="778">
        <v>99</v>
      </c>
      <c r="S11" s="778">
        <v>99</v>
      </c>
      <c r="T11" s="778">
        <v>99</v>
      </c>
      <c r="U11" s="778">
        <v>99</v>
      </c>
      <c r="V11" s="778">
        <v>99</v>
      </c>
      <c r="W11" s="778">
        <v>99</v>
      </c>
      <c r="X11" s="778">
        <v>99</v>
      </c>
      <c r="Y11" s="778">
        <v>99</v>
      </c>
      <c r="Z11" s="778">
        <v>99</v>
      </c>
      <c r="AA11" s="778">
        <v>99</v>
      </c>
      <c r="AB11" s="778">
        <v>99</v>
      </c>
      <c r="AC11" s="778">
        <v>99</v>
      </c>
      <c r="AD11" s="778">
        <v>99</v>
      </c>
      <c r="AE11" s="778">
        <v>99</v>
      </c>
      <c r="AF11" s="778">
        <v>99</v>
      </c>
      <c r="AG11" s="778">
        <v>99</v>
      </c>
      <c r="AH11" s="778">
        <v>99</v>
      </c>
      <c r="AI11" s="778">
        <v>99</v>
      </c>
      <c r="AJ11" s="778">
        <v>99</v>
      </c>
      <c r="AK11" s="778">
        <v>99</v>
      </c>
      <c r="AL11" s="778">
        <v>99</v>
      </c>
      <c r="AM11" s="778">
        <v>99</v>
      </c>
      <c r="AN11" s="778">
        <v>99</v>
      </c>
      <c r="AO11" s="778">
        <v>99</v>
      </c>
      <c r="AP11" s="778">
        <v>99</v>
      </c>
      <c r="AQ11" s="778">
        <v>99</v>
      </c>
      <c r="AR11" s="778">
        <v>99</v>
      </c>
      <c r="AS11" s="778">
        <v>99</v>
      </c>
      <c r="AT11" s="778">
        <v>99</v>
      </c>
      <c r="AU11" s="778">
        <v>99</v>
      </c>
      <c r="AV11" s="778">
        <v>99</v>
      </c>
      <c r="AW11" s="778">
        <v>99</v>
      </c>
      <c r="AX11" s="778">
        <v>99</v>
      </c>
      <c r="AY11" s="778">
        <v>99</v>
      </c>
      <c r="AZ11" s="778">
        <v>99</v>
      </c>
      <c r="BA11" s="778">
        <v>99</v>
      </c>
      <c r="BB11" s="778">
        <v>99</v>
      </c>
      <c r="BC11" s="778">
        <v>99</v>
      </c>
      <c r="BD11" s="778">
        <v>99</v>
      </c>
      <c r="BE11" s="778">
        <v>99</v>
      </c>
      <c r="BF11" s="778">
        <v>99</v>
      </c>
      <c r="BG11" s="778">
        <v>99.1</v>
      </c>
      <c r="BH11" s="778">
        <v>99.1</v>
      </c>
      <c r="BI11" s="778">
        <v>99.1</v>
      </c>
      <c r="BJ11" s="778">
        <v>100</v>
      </c>
      <c r="BK11" s="778">
        <v>100</v>
      </c>
      <c r="BL11" s="778">
        <v>100</v>
      </c>
      <c r="BM11" s="778">
        <v>100</v>
      </c>
      <c r="BN11" s="778">
        <v>100</v>
      </c>
      <c r="BO11" s="778">
        <v>100</v>
      </c>
      <c r="BP11" s="778">
        <v>100</v>
      </c>
      <c r="BQ11" s="778">
        <v>100</v>
      </c>
      <c r="BR11" s="778">
        <v>100</v>
      </c>
      <c r="BS11" s="779">
        <v>100</v>
      </c>
      <c r="BT11" s="779">
        <v>100</v>
      </c>
      <c r="BU11" s="780">
        <v>100</v>
      </c>
      <c r="BV11" s="779">
        <v>100</v>
      </c>
      <c r="BW11" s="779">
        <v>100</v>
      </c>
      <c r="BX11" s="779">
        <v>100</v>
      </c>
      <c r="BY11" s="779">
        <v>100</v>
      </c>
      <c r="BZ11" s="779">
        <v>100</v>
      </c>
      <c r="CA11" s="779">
        <v>100</v>
      </c>
      <c r="CB11" s="779">
        <v>100</v>
      </c>
      <c r="CC11" s="779">
        <v>100</v>
      </c>
      <c r="CD11" s="779">
        <v>100</v>
      </c>
      <c r="CE11" s="779">
        <v>100</v>
      </c>
      <c r="CF11" s="779">
        <v>100</v>
      </c>
      <c r="CG11" s="779">
        <v>100</v>
      </c>
      <c r="CH11" s="779">
        <v>100</v>
      </c>
      <c r="CI11" s="779">
        <v>100</v>
      </c>
      <c r="CJ11" s="779">
        <v>100</v>
      </c>
      <c r="CK11" s="779">
        <v>100</v>
      </c>
      <c r="CL11" s="779">
        <v>100</v>
      </c>
      <c r="CM11" s="779">
        <v>100</v>
      </c>
      <c r="CN11" s="779">
        <v>100</v>
      </c>
      <c r="CO11" s="781">
        <v>100</v>
      </c>
      <c r="CP11" s="779">
        <v>100</v>
      </c>
      <c r="CQ11" s="779">
        <v>105.9</v>
      </c>
      <c r="CR11" s="779">
        <v>105.9</v>
      </c>
      <c r="CS11" s="779">
        <v>105.9</v>
      </c>
      <c r="CT11" s="779">
        <v>105.9</v>
      </c>
      <c r="CU11" s="779">
        <v>105.9</v>
      </c>
      <c r="CV11" s="779">
        <v>113.9</v>
      </c>
      <c r="CW11" s="779">
        <v>113.9</v>
      </c>
      <c r="CX11" s="779">
        <v>113.9</v>
      </c>
      <c r="CY11" s="779">
        <v>113.9</v>
      </c>
      <c r="CZ11" s="779">
        <v>113.9</v>
      </c>
      <c r="DA11" s="779">
        <v>113.9</v>
      </c>
      <c r="DB11" s="779">
        <v>113.9</v>
      </c>
      <c r="DC11" s="779">
        <v>113.9</v>
      </c>
      <c r="DD11" s="779">
        <v>113.9</v>
      </c>
      <c r="DE11" s="779">
        <v>114</v>
      </c>
      <c r="DF11" s="779">
        <v>114</v>
      </c>
      <c r="DG11" s="779">
        <v>114</v>
      </c>
      <c r="DH11" s="779">
        <v>112.3</v>
      </c>
      <c r="DI11" s="779">
        <v>112.3</v>
      </c>
      <c r="DJ11" s="779">
        <v>112.3</v>
      </c>
      <c r="DK11" s="779">
        <v>112.3</v>
      </c>
      <c r="DL11" s="779">
        <v>112.3</v>
      </c>
      <c r="DM11" s="779">
        <v>112.3</v>
      </c>
      <c r="DN11" s="779">
        <v>112.3</v>
      </c>
      <c r="DO11" s="779">
        <v>112.3</v>
      </c>
      <c r="DP11" s="779">
        <v>112.3</v>
      </c>
      <c r="DQ11" s="779">
        <v>116.7</v>
      </c>
      <c r="DR11" s="779">
        <v>116.7</v>
      </c>
      <c r="DS11" s="779">
        <v>116.7</v>
      </c>
      <c r="DT11" s="779">
        <v>116.7</v>
      </c>
      <c r="DU11" s="779">
        <v>116.7</v>
      </c>
      <c r="DV11" s="782">
        <v>116.7</v>
      </c>
      <c r="DW11" s="33" t="s">
        <v>383</v>
      </c>
      <c r="DX11" s="783">
        <v>116.7</v>
      </c>
    </row>
    <row r="12" spans="1:128" ht="24" hidden="1">
      <c r="A12" s="784"/>
      <c r="K12" s="785" t="s">
        <v>131</v>
      </c>
      <c r="L12" s="786" t="s">
        <v>132</v>
      </c>
      <c r="M12" s="786" t="s">
        <v>133</v>
      </c>
      <c r="N12" s="786" t="s">
        <v>134</v>
      </c>
      <c r="O12" s="786" t="s">
        <v>135</v>
      </c>
      <c r="P12" s="786" t="s">
        <v>136</v>
      </c>
      <c r="Q12" s="786" t="s">
        <v>137</v>
      </c>
      <c r="R12" s="786" t="s">
        <v>138</v>
      </c>
      <c r="S12" s="786" t="s">
        <v>139</v>
      </c>
      <c r="T12" s="786" t="s">
        <v>140</v>
      </c>
      <c r="U12" s="786" t="s">
        <v>141</v>
      </c>
      <c r="V12" s="786" t="s">
        <v>142</v>
      </c>
      <c r="W12" s="786" t="s">
        <v>143</v>
      </c>
      <c r="X12" s="786" t="s">
        <v>144</v>
      </c>
      <c r="Y12" s="786" t="s">
        <v>145</v>
      </c>
      <c r="Z12" s="786" t="s">
        <v>146</v>
      </c>
      <c r="AA12" s="786" t="s">
        <v>147</v>
      </c>
      <c r="AB12" s="786" t="s">
        <v>148</v>
      </c>
      <c r="AC12" s="786" t="s">
        <v>149</v>
      </c>
      <c r="AD12" s="786" t="s">
        <v>150</v>
      </c>
      <c r="AE12" s="786" t="s">
        <v>151</v>
      </c>
      <c r="AF12" s="786" t="s">
        <v>152</v>
      </c>
      <c r="AG12" s="786" t="s">
        <v>153</v>
      </c>
      <c r="AH12" s="786" t="s">
        <v>154</v>
      </c>
      <c r="AI12" s="786" t="s">
        <v>155</v>
      </c>
      <c r="AJ12" s="786" t="s">
        <v>156</v>
      </c>
      <c r="AK12" s="786" t="s">
        <v>157</v>
      </c>
      <c r="AL12" s="786" t="s">
        <v>158</v>
      </c>
      <c r="AM12" s="786" t="s">
        <v>159</v>
      </c>
      <c r="AN12" s="786" t="s">
        <v>160</v>
      </c>
      <c r="AO12" s="786" t="s">
        <v>161</v>
      </c>
      <c r="AP12" s="786" t="s">
        <v>162</v>
      </c>
      <c r="AQ12" s="786" t="s">
        <v>163</v>
      </c>
      <c r="AR12" s="786" t="s">
        <v>164</v>
      </c>
      <c r="AS12" s="786" t="s">
        <v>165</v>
      </c>
      <c r="AT12" s="786" t="s">
        <v>166</v>
      </c>
      <c r="AU12" s="786" t="s">
        <v>167</v>
      </c>
      <c r="AV12" s="786" t="s">
        <v>168</v>
      </c>
      <c r="AW12" s="786" t="s">
        <v>169</v>
      </c>
      <c r="AX12" s="786" t="s">
        <v>170</v>
      </c>
      <c r="AY12" s="786" t="s">
        <v>171</v>
      </c>
      <c r="AZ12" s="786" t="s">
        <v>172</v>
      </c>
      <c r="BA12" s="786" t="s">
        <v>173</v>
      </c>
      <c r="BB12" s="786" t="s">
        <v>174</v>
      </c>
      <c r="BC12" s="786" t="s">
        <v>175</v>
      </c>
      <c r="BD12" s="786" t="s">
        <v>176</v>
      </c>
      <c r="BE12" s="786" t="s">
        <v>177</v>
      </c>
      <c r="BF12" s="786" t="s">
        <v>178</v>
      </c>
      <c r="BG12" s="786" t="s">
        <v>179</v>
      </c>
      <c r="BH12" s="786" t="s">
        <v>180</v>
      </c>
      <c r="BI12" s="786" t="s">
        <v>181</v>
      </c>
      <c r="BJ12" s="786" t="s">
        <v>182</v>
      </c>
      <c r="BK12" s="786" t="s">
        <v>183</v>
      </c>
      <c r="BL12" s="786" t="s">
        <v>184</v>
      </c>
      <c r="BM12" s="786" t="s">
        <v>185</v>
      </c>
      <c r="BN12" s="786" t="s">
        <v>186</v>
      </c>
      <c r="BO12" s="786" t="s">
        <v>187</v>
      </c>
      <c r="BP12" s="786" t="s">
        <v>188</v>
      </c>
      <c r="BQ12" s="786" t="s">
        <v>189</v>
      </c>
      <c r="BR12" s="786" t="s">
        <v>190</v>
      </c>
      <c r="BS12" s="786" t="s">
        <v>233</v>
      </c>
      <c r="BT12" s="786" t="s">
        <v>234</v>
      </c>
      <c r="BU12" s="787" t="s">
        <v>235</v>
      </c>
      <c r="BV12" s="786" t="s">
        <v>236</v>
      </c>
      <c r="BW12" s="786" t="s">
        <v>237</v>
      </c>
      <c r="BX12" s="786" t="s">
        <v>238</v>
      </c>
      <c r="BY12" s="786" t="s">
        <v>239</v>
      </c>
      <c r="BZ12" s="786" t="s">
        <v>240</v>
      </c>
      <c r="CA12" s="786" t="s">
        <v>241</v>
      </c>
      <c r="CB12" s="786" t="s">
        <v>242</v>
      </c>
      <c r="CC12" s="786" t="s">
        <v>243</v>
      </c>
      <c r="CD12" s="786" t="s">
        <v>244</v>
      </c>
      <c r="CE12" s="786" t="s">
        <v>245</v>
      </c>
      <c r="CF12" s="786" t="s">
        <v>246</v>
      </c>
      <c r="CG12" s="786" t="s">
        <v>247</v>
      </c>
      <c r="CH12" s="786" t="s">
        <v>248</v>
      </c>
      <c r="CI12" s="786" t="s">
        <v>249</v>
      </c>
      <c r="CJ12" s="786" t="s">
        <v>250</v>
      </c>
      <c r="CK12" s="786" t="s">
        <v>251</v>
      </c>
      <c r="CL12" s="786" t="s">
        <v>252</v>
      </c>
      <c r="CM12" s="786" t="s">
        <v>253</v>
      </c>
      <c r="CN12" s="786" t="s">
        <v>254</v>
      </c>
      <c r="CO12" s="788" t="s">
        <v>255</v>
      </c>
      <c r="CP12" s="786" t="s">
        <v>256</v>
      </c>
      <c r="CQ12" s="786" t="s">
        <v>257</v>
      </c>
      <c r="CR12" s="786" t="s">
        <v>258</v>
      </c>
      <c r="CS12" s="786" t="s">
        <v>259</v>
      </c>
      <c r="CT12" s="786" t="s">
        <v>260</v>
      </c>
      <c r="CU12" s="786" t="s">
        <v>261</v>
      </c>
      <c r="CV12" s="786" t="s">
        <v>262</v>
      </c>
      <c r="CW12" s="786" t="s">
        <v>263</v>
      </c>
      <c r="CX12" s="786" t="s">
        <v>264</v>
      </c>
      <c r="CY12" s="786" t="s">
        <v>265</v>
      </c>
      <c r="CZ12" s="786" t="s">
        <v>266</v>
      </c>
      <c r="DA12" s="786" t="s">
        <v>267</v>
      </c>
      <c r="DB12" s="786" t="s">
        <v>268</v>
      </c>
      <c r="DC12" s="786" t="s">
        <v>269</v>
      </c>
      <c r="DD12" s="786" t="s">
        <v>270</v>
      </c>
      <c r="DE12" s="786" t="s">
        <v>271</v>
      </c>
      <c r="DF12" s="786" t="s">
        <v>272</v>
      </c>
      <c r="DG12" s="786" t="s">
        <v>273</v>
      </c>
      <c r="DH12" s="786" t="s">
        <v>274</v>
      </c>
      <c r="DI12" s="786" t="s">
        <v>275</v>
      </c>
      <c r="DJ12" s="786" t="s">
        <v>298</v>
      </c>
      <c r="DK12" s="786" t="s">
        <v>299</v>
      </c>
      <c r="DL12" s="786" t="s">
        <v>324</v>
      </c>
      <c r="DM12" s="786" t="s">
        <v>325</v>
      </c>
      <c r="DN12" s="786" t="s">
        <v>326</v>
      </c>
      <c r="DO12" s="786" t="s">
        <v>327</v>
      </c>
      <c r="DP12" s="786" t="s">
        <v>328</v>
      </c>
      <c r="DQ12" s="786" t="s">
        <v>329</v>
      </c>
      <c r="DR12" s="786" t="s">
        <v>330</v>
      </c>
      <c r="DS12" s="786" t="s">
        <v>331</v>
      </c>
      <c r="DT12" s="786" t="s">
        <v>332</v>
      </c>
      <c r="DU12" s="786" t="s">
        <v>333</v>
      </c>
      <c r="DV12" s="789" t="s">
        <v>322</v>
      </c>
      <c r="DW12" s="33" t="s">
        <v>383</v>
      </c>
      <c r="DX12" s="790" t="s">
        <v>135</v>
      </c>
    </row>
    <row r="13" spans="1:128" ht="26.1" hidden="1" customHeight="1">
      <c r="A13" s="946" t="s">
        <v>276</v>
      </c>
      <c r="K13" s="791">
        <v>81.7</v>
      </c>
      <c r="L13" s="792">
        <v>93.3</v>
      </c>
      <c r="M13" s="792">
        <v>102.8</v>
      </c>
      <c r="N13" s="792">
        <v>98.5</v>
      </c>
      <c r="O13" s="792">
        <v>106.1</v>
      </c>
      <c r="P13" s="792">
        <v>105.8</v>
      </c>
      <c r="Q13" s="792">
        <v>100.8</v>
      </c>
      <c r="R13" s="792">
        <v>90.2</v>
      </c>
      <c r="S13" s="792">
        <v>85.3</v>
      </c>
      <c r="T13" s="792">
        <v>86.3</v>
      </c>
      <c r="U13" s="792">
        <v>84.9</v>
      </c>
      <c r="V13" s="792">
        <v>75.400000000000006</v>
      </c>
      <c r="W13" s="792">
        <v>67.400000000000006</v>
      </c>
      <c r="X13" s="792">
        <v>62.1</v>
      </c>
      <c r="Y13" s="792">
        <v>71</v>
      </c>
      <c r="Z13" s="792">
        <v>66.8</v>
      </c>
      <c r="AA13" s="792">
        <v>74.099999999999994</v>
      </c>
      <c r="AB13" s="792">
        <v>81</v>
      </c>
      <c r="AC13" s="792">
        <v>76.5</v>
      </c>
      <c r="AD13" s="792">
        <v>71.099999999999994</v>
      </c>
      <c r="AE13" s="792">
        <v>78.7</v>
      </c>
      <c r="AF13" s="792">
        <v>84.6</v>
      </c>
      <c r="AG13" s="792">
        <v>78.7</v>
      </c>
      <c r="AH13" s="792">
        <v>89.5</v>
      </c>
      <c r="AI13" s="792">
        <v>95.7</v>
      </c>
      <c r="AJ13" s="792">
        <v>95.1</v>
      </c>
      <c r="AK13" s="792">
        <v>89</v>
      </c>
      <c r="AL13" s="792">
        <v>92.6</v>
      </c>
      <c r="AM13" s="792">
        <v>83.5</v>
      </c>
      <c r="AN13" s="792">
        <v>78.400000000000006</v>
      </c>
      <c r="AO13" s="792">
        <v>79.3</v>
      </c>
      <c r="AP13" s="792">
        <v>83.2</v>
      </c>
      <c r="AQ13" s="792">
        <v>87.7</v>
      </c>
      <c r="AR13" s="792">
        <v>88.3</v>
      </c>
      <c r="AS13" s="792">
        <v>97</v>
      </c>
      <c r="AT13" s="792">
        <v>94</v>
      </c>
      <c r="AU13" s="792">
        <v>98.8</v>
      </c>
      <c r="AV13" s="792">
        <v>90.5</v>
      </c>
      <c r="AW13" s="792">
        <v>91.7</v>
      </c>
      <c r="AX13" s="792">
        <v>98.9</v>
      </c>
      <c r="AY13" s="792">
        <v>108.9</v>
      </c>
      <c r="AZ13" s="792">
        <v>108.7</v>
      </c>
      <c r="BA13" s="792">
        <v>108.8</v>
      </c>
      <c r="BB13" s="792">
        <v>110</v>
      </c>
      <c r="BC13" s="792">
        <v>113.9</v>
      </c>
      <c r="BD13" s="792">
        <v>118.9</v>
      </c>
      <c r="BE13" s="792">
        <v>107.4</v>
      </c>
      <c r="BF13" s="792">
        <v>94.9</v>
      </c>
      <c r="BG13" s="792">
        <v>94.4</v>
      </c>
      <c r="BH13" s="792">
        <v>96.7</v>
      </c>
      <c r="BI13" s="792">
        <v>104.3</v>
      </c>
      <c r="BJ13" s="792">
        <v>109.2</v>
      </c>
      <c r="BK13" s="792">
        <v>109.3</v>
      </c>
      <c r="BL13" s="792">
        <v>98.4</v>
      </c>
      <c r="BM13" s="792">
        <v>102.7</v>
      </c>
      <c r="BN13" s="792">
        <v>99.4</v>
      </c>
      <c r="BO13" s="792">
        <v>100.3</v>
      </c>
      <c r="BP13" s="792">
        <v>102.1</v>
      </c>
      <c r="BQ13" s="792">
        <v>101.1</v>
      </c>
      <c r="BR13" s="792">
        <v>99.2</v>
      </c>
      <c r="BS13" s="792">
        <v>103.4</v>
      </c>
      <c r="BT13" s="792">
        <v>103.4</v>
      </c>
      <c r="BU13" s="793">
        <v>78.099999999999994</v>
      </c>
      <c r="BV13" s="792">
        <v>55.7</v>
      </c>
      <c r="BW13" s="792">
        <v>50.6</v>
      </c>
      <c r="BX13" s="792">
        <v>63.1</v>
      </c>
      <c r="BY13" s="792">
        <v>70.3</v>
      </c>
      <c r="BZ13" s="792">
        <v>67.900000000000006</v>
      </c>
      <c r="CA13" s="792">
        <v>62.2</v>
      </c>
      <c r="CB13" s="794">
        <v>65.8</v>
      </c>
      <c r="CC13" s="794">
        <v>64.5</v>
      </c>
      <c r="CD13" s="794">
        <v>72.400000000000006</v>
      </c>
      <c r="CE13" s="794">
        <v>77.599999999999994</v>
      </c>
      <c r="CF13" s="794">
        <v>84.7</v>
      </c>
      <c r="CG13" s="794">
        <v>93.6</v>
      </c>
      <c r="CH13" s="794">
        <v>87.3</v>
      </c>
      <c r="CI13" s="794">
        <v>92.4</v>
      </c>
      <c r="CJ13" s="794">
        <v>95.4</v>
      </c>
      <c r="CK13" s="794">
        <v>101.4</v>
      </c>
      <c r="CL13" s="794">
        <v>100.6</v>
      </c>
      <c r="CM13" s="794">
        <v>104.1</v>
      </c>
      <c r="CN13" s="794">
        <v>122.3</v>
      </c>
      <c r="CO13" s="795">
        <v>124.4</v>
      </c>
      <c r="CP13" s="794">
        <v>116.3</v>
      </c>
      <c r="CQ13" s="794">
        <v>124.2</v>
      </c>
      <c r="CR13" s="794">
        <v>140.5</v>
      </c>
      <c r="CS13" s="794">
        <v>194</v>
      </c>
      <c r="CT13" s="794">
        <v>174.1</v>
      </c>
      <c r="CU13" s="794">
        <v>191.1</v>
      </c>
      <c r="CV13" s="794">
        <v>203.3</v>
      </c>
      <c r="CW13" s="794">
        <v>196.8</v>
      </c>
      <c r="CX13" s="794">
        <v>170.3</v>
      </c>
      <c r="CY13" s="794">
        <v>173</v>
      </c>
      <c r="CZ13" s="794">
        <v>176.8</v>
      </c>
      <c r="DA13" s="794">
        <v>181.7</v>
      </c>
      <c r="DB13" s="794">
        <v>143.5</v>
      </c>
      <c r="DC13" s="794">
        <v>146.69999999999999</v>
      </c>
      <c r="DD13" s="794">
        <v>146</v>
      </c>
      <c r="DE13" s="794">
        <v>146.5</v>
      </c>
      <c r="DF13" s="794">
        <v>144.19999999999999</v>
      </c>
      <c r="DG13" s="794">
        <v>123.4</v>
      </c>
      <c r="DH13" s="794">
        <v>132.4</v>
      </c>
      <c r="DI13" s="794">
        <v>134.19999999999999</v>
      </c>
      <c r="DJ13" s="794">
        <v>154.1</v>
      </c>
      <c r="DK13" s="794">
        <v>160.4</v>
      </c>
      <c r="DL13" s="794">
        <v>149.30000000000001</v>
      </c>
      <c r="DM13" s="794">
        <v>141.5</v>
      </c>
      <c r="DN13" s="794">
        <v>131.9</v>
      </c>
      <c r="DO13" s="794">
        <v>142</v>
      </c>
      <c r="DP13" s="794">
        <v>142</v>
      </c>
      <c r="DQ13" s="794">
        <v>141</v>
      </c>
      <c r="DR13" s="794">
        <v>146.9</v>
      </c>
      <c r="DS13" s="794">
        <v>135.4</v>
      </c>
      <c r="DT13" s="794">
        <v>128</v>
      </c>
      <c r="DU13" s="794">
        <v>139.80000000000001</v>
      </c>
      <c r="DV13" s="796">
        <v>127.8</v>
      </c>
      <c r="DW13" s="33" t="s">
        <v>383</v>
      </c>
      <c r="DX13" s="797">
        <v>127.8</v>
      </c>
    </row>
    <row r="14" spans="1:128" ht="0.75" hidden="1" customHeight="1">
      <c r="A14" s="946"/>
      <c r="K14" s="798"/>
      <c r="L14" s="799"/>
      <c r="M14" s="799"/>
      <c r="N14" s="799"/>
      <c r="O14" s="799"/>
      <c r="P14" s="799"/>
      <c r="Q14" s="799"/>
      <c r="R14" s="799"/>
      <c r="S14" s="799"/>
      <c r="T14" s="799"/>
      <c r="U14" s="799"/>
      <c r="V14" s="799"/>
      <c r="W14" s="799"/>
      <c r="X14" s="799"/>
      <c r="Y14" s="799"/>
      <c r="Z14" s="799"/>
      <c r="AA14" s="799"/>
      <c r="AB14" s="799"/>
      <c r="AC14" s="799"/>
      <c r="AD14" s="799"/>
      <c r="AE14" s="799"/>
      <c r="AF14" s="799"/>
      <c r="AG14" s="799"/>
      <c r="AH14" s="799"/>
      <c r="AI14" s="799"/>
      <c r="AJ14" s="799"/>
      <c r="AK14" s="799"/>
      <c r="AL14" s="799"/>
      <c r="AM14" s="799"/>
      <c r="AN14" s="799"/>
      <c r="AO14" s="799"/>
      <c r="AP14" s="799"/>
      <c r="AQ14" s="799"/>
      <c r="AR14" s="799"/>
      <c r="AS14" s="799"/>
      <c r="AT14" s="799"/>
      <c r="AU14" s="799"/>
      <c r="AV14" s="799"/>
      <c r="AW14" s="799"/>
      <c r="AX14" s="799"/>
      <c r="AY14" s="799"/>
      <c r="AZ14" s="799"/>
      <c r="BA14" s="799"/>
      <c r="BB14" s="799"/>
      <c r="BC14" s="799"/>
      <c r="BD14" s="799"/>
      <c r="BE14" s="799"/>
      <c r="BF14" s="799"/>
      <c r="BG14" s="799"/>
      <c r="BH14" s="799"/>
      <c r="BI14" s="799"/>
      <c r="BJ14" s="799"/>
      <c r="BK14" s="799"/>
      <c r="BL14" s="799"/>
      <c r="BM14" s="799"/>
      <c r="BN14" s="799"/>
      <c r="BO14" s="799"/>
      <c r="BP14" s="799"/>
      <c r="BQ14" s="799"/>
      <c r="BR14" s="799"/>
      <c r="BS14" s="799"/>
      <c r="BT14" s="799"/>
      <c r="BU14" s="800"/>
      <c r="BV14" s="799"/>
      <c r="BW14" s="799"/>
      <c r="BX14" s="799"/>
      <c r="BY14" s="799"/>
      <c r="BZ14" s="799"/>
      <c r="CA14" s="799"/>
      <c r="CB14" s="799"/>
      <c r="CC14" s="799"/>
      <c r="CD14" s="799"/>
      <c r="CE14" s="799"/>
      <c r="CF14" s="799"/>
      <c r="CG14" s="799"/>
      <c r="CH14" s="799"/>
      <c r="CI14" s="799"/>
      <c r="CJ14" s="799"/>
      <c r="CK14" s="799"/>
      <c r="CL14" s="799"/>
      <c r="CM14" s="799"/>
      <c r="CN14" s="799"/>
      <c r="CO14" s="801"/>
      <c r="CP14" s="799"/>
      <c r="CQ14" s="799"/>
      <c r="CR14" s="799"/>
      <c r="CS14" s="799"/>
      <c r="CT14" s="799"/>
      <c r="CU14" s="799"/>
      <c r="CV14" s="799"/>
      <c r="CW14" s="799"/>
      <c r="CX14" s="799"/>
      <c r="CY14" s="799"/>
      <c r="CZ14" s="799"/>
      <c r="DA14" s="799"/>
      <c r="DB14" s="799"/>
      <c r="DC14" s="799"/>
      <c r="DD14" s="799"/>
      <c r="DE14" s="799"/>
      <c r="DF14" s="799"/>
      <c r="DG14" s="799"/>
      <c r="DH14" s="799"/>
      <c r="DI14" s="799"/>
      <c r="DJ14" s="799"/>
      <c r="DK14" s="799"/>
      <c r="DL14" s="799"/>
      <c r="DM14" s="799"/>
      <c r="DN14" s="799"/>
      <c r="DO14" s="799"/>
      <c r="DP14" s="799"/>
      <c r="DQ14" s="799"/>
      <c r="DR14" s="799"/>
      <c r="DS14" s="799"/>
      <c r="DT14" s="799"/>
      <c r="DU14" s="799"/>
      <c r="DV14" s="802"/>
      <c r="DW14" s="33" t="s">
        <v>383</v>
      </c>
    </row>
    <row r="15" spans="1:128" ht="26.45" hidden="1" customHeight="1">
      <c r="A15" s="803" t="s">
        <v>340</v>
      </c>
      <c r="B15" s="804"/>
      <c r="C15" s="804"/>
      <c r="D15" s="804"/>
      <c r="E15" s="804"/>
      <c r="F15" s="804"/>
      <c r="G15" s="804"/>
      <c r="H15" s="804"/>
      <c r="I15" s="804"/>
      <c r="J15" s="804"/>
      <c r="K15" s="805">
        <v>100.6</v>
      </c>
      <c r="L15" s="805">
        <v>100.6</v>
      </c>
      <c r="M15" s="805">
        <v>100.6</v>
      </c>
      <c r="N15" s="805">
        <v>96.8</v>
      </c>
      <c r="O15" s="805">
        <v>96.8</v>
      </c>
      <c r="P15" s="805">
        <v>100.6</v>
      </c>
      <c r="Q15" s="805">
        <v>100.6</v>
      </c>
      <c r="R15" s="805">
        <v>100.6</v>
      </c>
      <c r="S15" s="805">
        <v>100.6</v>
      </c>
      <c r="T15" s="805">
        <v>100.6</v>
      </c>
      <c r="U15" s="805">
        <v>100.6</v>
      </c>
      <c r="V15" s="805">
        <v>100.6</v>
      </c>
      <c r="W15" s="805">
        <v>100.6</v>
      </c>
      <c r="X15" s="805">
        <v>100.6</v>
      </c>
      <c r="Y15" s="805">
        <v>100.6</v>
      </c>
      <c r="Z15" s="805">
        <v>100.6</v>
      </c>
      <c r="AA15" s="805">
        <v>100.6</v>
      </c>
      <c r="AB15" s="805">
        <v>100.6</v>
      </c>
      <c r="AC15" s="805">
        <v>100.6</v>
      </c>
      <c r="AD15" s="805">
        <v>100.6</v>
      </c>
      <c r="AE15" s="805">
        <v>100.6</v>
      </c>
      <c r="AF15" s="805">
        <v>100.6</v>
      </c>
      <c r="AG15" s="805">
        <v>100.6</v>
      </c>
      <c r="AH15" s="805">
        <v>100.6</v>
      </c>
      <c r="AI15" s="805">
        <v>100.6</v>
      </c>
      <c r="AJ15" s="805">
        <v>100.6</v>
      </c>
      <c r="AK15" s="805">
        <v>100.6</v>
      </c>
      <c r="AL15" s="805">
        <v>100.6</v>
      </c>
      <c r="AM15" s="805">
        <v>100.6</v>
      </c>
      <c r="AN15" s="805">
        <v>100.6</v>
      </c>
      <c r="AO15" s="805">
        <v>100.6</v>
      </c>
      <c r="AP15" s="805">
        <v>100.6</v>
      </c>
      <c r="AQ15" s="805">
        <v>100.6</v>
      </c>
      <c r="AR15" s="805">
        <v>102.7</v>
      </c>
      <c r="AS15" s="805">
        <v>102.7</v>
      </c>
      <c r="AT15" s="805">
        <v>102.7</v>
      </c>
      <c r="AU15" s="805">
        <v>102.7</v>
      </c>
      <c r="AV15" s="805">
        <v>102.7</v>
      </c>
      <c r="AW15" s="805">
        <v>102.7</v>
      </c>
      <c r="AX15" s="805">
        <v>103.8</v>
      </c>
      <c r="AY15" s="805">
        <v>103.8</v>
      </c>
      <c r="AZ15" s="805">
        <v>103.8</v>
      </c>
      <c r="BA15" s="805">
        <v>103.8</v>
      </c>
      <c r="BB15" s="805">
        <v>103.8</v>
      </c>
      <c r="BC15" s="805">
        <v>103.8</v>
      </c>
      <c r="BD15" s="805">
        <v>103.8</v>
      </c>
      <c r="BE15" s="805">
        <v>103.8</v>
      </c>
      <c r="BF15" s="805">
        <v>103.8</v>
      </c>
      <c r="BG15" s="805">
        <v>103.8</v>
      </c>
      <c r="BH15" s="805">
        <v>103.8</v>
      </c>
      <c r="BI15" s="805">
        <v>103.8</v>
      </c>
      <c r="BJ15" s="805">
        <v>103.8</v>
      </c>
      <c r="BK15" s="805">
        <v>103.8</v>
      </c>
      <c r="BL15" s="805">
        <v>103.8</v>
      </c>
      <c r="BM15" s="805">
        <v>103.8</v>
      </c>
      <c r="BN15" s="805">
        <v>103.8</v>
      </c>
      <c r="BO15" s="805">
        <v>103.8</v>
      </c>
      <c r="BP15" s="805">
        <v>106.9</v>
      </c>
      <c r="BQ15" s="805">
        <v>106.9</v>
      </c>
      <c r="BR15" s="805">
        <v>106.9</v>
      </c>
      <c r="BS15" s="805">
        <v>106.9</v>
      </c>
      <c r="BT15" s="805">
        <v>106.9</v>
      </c>
      <c r="BU15" s="806">
        <v>106.9</v>
      </c>
      <c r="BV15" s="805">
        <v>108.2</v>
      </c>
      <c r="BW15" s="805">
        <v>108.2</v>
      </c>
      <c r="BX15" s="805">
        <v>108.2</v>
      </c>
      <c r="BY15" s="805">
        <v>108.2</v>
      </c>
      <c r="BZ15" s="805">
        <v>108.2</v>
      </c>
      <c r="CA15" s="805">
        <v>108.2</v>
      </c>
      <c r="CB15" s="805">
        <v>114.9</v>
      </c>
      <c r="CC15" s="805">
        <v>114.9</v>
      </c>
      <c r="CD15" s="805">
        <v>114.9</v>
      </c>
      <c r="CE15" s="805">
        <v>114.9</v>
      </c>
      <c r="CF15" s="805">
        <v>114.9</v>
      </c>
      <c r="CG15" s="805">
        <v>114.9</v>
      </c>
      <c r="CH15" s="805">
        <v>114.9</v>
      </c>
      <c r="CI15" s="805">
        <v>116</v>
      </c>
      <c r="CJ15" s="805">
        <v>116</v>
      </c>
      <c r="CK15" s="805">
        <v>121.9</v>
      </c>
      <c r="CL15" s="805">
        <v>121.9</v>
      </c>
      <c r="CM15" s="805">
        <v>121.9</v>
      </c>
      <c r="CN15" s="805">
        <v>122.7</v>
      </c>
      <c r="CO15" s="807">
        <v>122.7</v>
      </c>
      <c r="CP15" s="805">
        <v>122.7</v>
      </c>
      <c r="CQ15" s="805">
        <v>122.7</v>
      </c>
      <c r="CR15" s="805">
        <v>122.7</v>
      </c>
      <c r="CS15" s="805">
        <v>122.7</v>
      </c>
      <c r="CT15" s="805">
        <v>125.2</v>
      </c>
      <c r="CU15" s="805">
        <v>125.2</v>
      </c>
      <c r="CV15" s="805">
        <v>125.2</v>
      </c>
      <c r="CW15" s="805">
        <v>125.3</v>
      </c>
      <c r="CX15" s="805">
        <v>127.4</v>
      </c>
      <c r="CY15" s="805">
        <v>129.30000000000001</v>
      </c>
      <c r="CZ15" s="805">
        <v>129.30000000000001</v>
      </c>
      <c r="DA15" s="805">
        <v>129.30000000000001</v>
      </c>
      <c r="DB15" s="805">
        <v>129.30000000000001</v>
      </c>
      <c r="DC15" s="805">
        <v>129.4</v>
      </c>
      <c r="DD15" s="805">
        <v>129.4</v>
      </c>
      <c r="DE15" s="805">
        <v>129.4</v>
      </c>
      <c r="DF15" s="805">
        <v>129.4</v>
      </c>
      <c r="DG15" s="805">
        <v>129.4</v>
      </c>
      <c r="DH15" s="805">
        <v>129.4</v>
      </c>
      <c r="DI15" s="805">
        <v>132.69999999999999</v>
      </c>
      <c r="DJ15" s="805">
        <v>132.69999999999999</v>
      </c>
      <c r="DK15" s="805">
        <v>132.69999999999999</v>
      </c>
      <c r="DL15" s="805">
        <v>132.69999999999999</v>
      </c>
      <c r="DM15" s="805">
        <v>132.69999999999999</v>
      </c>
      <c r="DN15" s="805">
        <v>132.69999999999999</v>
      </c>
      <c r="DO15" s="805">
        <v>133.5</v>
      </c>
      <c r="DP15" s="805">
        <v>137.19999999999999</v>
      </c>
      <c r="DQ15" s="805">
        <v>137.19999999999999</v>
      </c>
      <c r="DR15" s="805">
        <v>137.19999999999999</v>
      </c>
      <c r="DS15" s="805">
        <v>139.30000000000001</v>
      </c>
      <c r="DT15" s="805">
        <v>139.30000000000001</v>
      </c>
      <c r="DU15" s="805">
        <v>139.30000000000001</v>
      </c>
      <c r="DV15" s="805">
        <v>144.1</v>
      </c>
      <c r="DW15" s="33" t="s">
        <v>383</v>
      </c>
      <c r="DX15" s="804">
        <v>144.1</v>
      </c>
    </row>
    <row r="16" spans="1:128">
      <c r="A16" s="808"/>
      <c r="B16" s="277"/>
      <c r="C16" s="277"/>
      <c r="D16" s="277"/>
      <c r="E16" s="277"/>
      <c r="F16" s="277"/>
      <c r="G16" s="277"/>
      <c r="H16" s="277"/>
      <c r="I16" s="277"/>
      <c r="J16" s="277"/>
      <c r="K16" s="277"/>
      <c r="L16" s="277"/>
    </row>
    <row r="17" spans="1:126" ht="15.75" thickBot="1">
      <c r="A17" s="809" t="s">
        <v>342</v>
      </c>
      <c r="B17" s="282"/>
      <c r="C17" s="282"/>
      <c r="D17" s="282"/>
      <c r="E17" s="282"/>
      <c r="F17" s="282"/>
      <c r="G17" s="282"/>
      <c r="H17" s="282"/>
      <c r="I17" s="282"/>
      <c r="J17" s="282"/>
      <c r="K17" s="282"/>
      <c r="L17" s="282"/>
    </row>
    <row r="18" spans="1:126" ht="30.6" customHeight="1" thickTop="1" thickBot="1">
      <c r="A18" s="299"/>
      <c r="B18" s="810"/>
      <c r="C18" s="810"/>
      <c r="D18" s="810"/>
      <c r="E18" s="810"/>
      <c r="F18" s="810"/>
      <c r="G18" s="810"/>
      <c r="H18" s="810"/>
      <c r="I18" s="810"/>
      <c r="J18" s="810"/>
      <c r="K18" s="811" t="s">
        <v>344</v>
      </c>
      <c r="L18" s="812" t="s">
        <v>345</v>
      </c>
      <c r="BU18" s="147"/>
      <c r="BV18" s="147"/>
      <c r="BW18" s="147"/>
      <c r="BX18" s="147"/>
      <c r="BY18" s="147"/>
      <c r="BZ18" s="147"/>
      <c r="CA18" s="147"/>
      <c r="CB18" s="147"/>
      <c r="CC18" s="147"/>
      <c r="CD18" s="147"/>
      <c r="CE18" s="147"/>
      <c r="CF18" s="147"/>
      <c r="CG18" s="147"/>
      <c r="CH18" s="147"/>
      <c r="CI18" s="147"/>
      <c r="CJ18" s="147"/>
      <c r="CK18" s="147"/>
      <c r="CL18" s="147"/>
      <c r="CM18" s="147"/>
      <c r="CN18" s="147"/>
      <c r="CO18" s="147"/>
      <c r="CP18" s="147"/>
      <c r="CQ18" s="147"/>
      <c r="CR18" s="147"/>
      <c r="CS18" s="147"/>
      <c r="CT18" s="147"/>
      <c r="CU18" s="147"/>
      <c r="CV18" s="147"/>
      <c r="CW18" s="147"/>
      <c r="CX18" s="147"/>
      <c r="CY18" s="147"/>
      <c r="CZ18" s="147"/>
      <c r="DA18" s="147"/>
      <c r="DB18" s="147"/>
      <c r="DC18" s="147"/>
      <c r="DD18" s="147"/>
      <c r="DE18" s="147"/>
      <c r="DF18" s="147"/>
      <c r="DG18" s="147"/>
      <c r="DH18" s="147"/>
      <c r="DI18" s="147"/>
      <c r="DJ18" s="147"/>
      <c r="DK18" s="147"/>
      <c r="DL18" s="147"/>
      <c r="DM18" s="147"/>
      <c r="DN18" s="147"/>
      <c r="DO18" s="147"/>
      <c r="DP18" s="147"/>
      <c r="DQ18" s="147"/>
      <c r="DR18" s="147"/>
      <c r="DS18" s="147"/>
      <c r="DT18" s="147"/>
      <c r="DU18" s="147"/>
      <c r="DV18" s="147"/>
    </row>
    <row r="19" spans="1:126" ht="14.65" customHeight="1" thickTop="1">
      <c r="A19" s="950" t="s">
        <v>554</v>
      </c>
      <c r="B19" s="813"/>
      <c r="C19" s="814"/>
      <c r="D19" s="814"/>
      <c r="E19" s="814"/>
      <c r="F19" s="814"/>
      <c r="G19" s="814"/>
      <c r="H19" s="814"/>
      <c r="I19" s="814"/>
      <c r="J19" s="815"/>
      <c r="K19" s="816" t="s">
        <v>335</v>
      </c>
      <c r="L19" s="817">
        <f>+'TABELA ULAZNIH PODATAKA'!D194</f>
        <v>0</v>
      </c>
      <c r="M19" s="818"/>
    </row>
    <row r="20" spans="1:126">
      <c r="A20" s="951"/>
      <c r="B20" s="819"/>
      <c r="C20" s="820"/>
      <c r="D20" s="820"/>
      <c r="E20" s="820"/>
      <c r="F20" s="820"/>
      <c r="G20" s="820"/>
      <c r="H20" s="820"/>
      <c r="I20" s="820"/>
      <c r="J20" s="821"/>
      <c r="K20" s="816" t="s">
        <v>336</v>
      </c>
      <c r="L20" s="817">
        <f>+'TABELA ULAZNIH PODATAKA'!D195</f>
        <v>0</v>
      </c>
      <c r="M20" s="822"/>
      <c r="BU20" s="147"/>
    </row>
    <row r="21" spans="1:126">
      <c r="A21" s="823">
        <f>+'TABELA ULAZNIH PODATAKA'!D187</f>
        <v>-1095</v>
      </c>
      <c r="B21" s="819"/>
      <c r="C21" s="820"/>
      <c r="D21" s="820"/>
      <c r="E21" s="820"/>
      <c r="F21" s="820"/>
      <c r="G21" s="820"/>
      <c r="H21" s="820"/>
      <c r="I21" s="820"/>
      <c r="J21" s="821"/>
      <c r="K21" s="816" t="s">
        <v>337</v>
      </c>
      <c r="L21" s="817">
        <f>+'TABELA ULAZNIH PODATAKA'!D196</f>
        <v>0</v>
      </c>
      <c r="BU21" s="147"/>
    </row>
    <row r="22" spans="1:126" ht="15.75" thickBot="1">
      <c r="A22" s="824"/>
      <c r="B22" s="825"/>
      <c r="C22" s="826"/>
      <c r="D22" s="826"/>
      <c r="E22" s="826"/>
      <c r="F22" s="826"/>
      <c r="G22" s="826"/>
      <c r="H22" s="826"/>
      <c r="I22" s="826"/>
      <c r="J22" s="827"/>
      <c r="K22" s="816" t="s">
        <v>339</v>
      </c>
      <c r="L22" s="817">
        <f>+'TABELA ULAZNIH PODATAKA'!D197</f>
        <v>0</v>
      </c>
      <c r="BU22" s="147"/>
    </row>
    <row r="23" spans="1:126" ht="14.25" customHeight="1" thickTop="1">
      <c r="A23" s="952" t="s">
        <v>619</v>
      </c>
      <c r="B23" s="828"/>
      <c r="C23" s="828"/>
      <c r="D23" s="828"/>
      <c r="E23" s="828"/>
      <c r="F23" s="828"/>
      <c r="G23" s="828"/>
      <c r="H23" s="828"/>
      <c r="I23" s="828"/>
      <c r="J23" s="828"/>
      <c r="K23" s="829" t="s">
        <v>335</v>
      </c>
      <c r="L23" s="817">
        <f>+'TABELA ULAZNIH PODATAKA'!D189</f>
        <v>0</v>
      </c>
      <c r="BU23" s="147"/>
    </row>
    <row r="24" spans="1:126">
      <c r="A24" s="953"/>
      <c r="B24" s="828"/>
      <c r="C24" s="828"/>
      <c r="D24" s="828"/>
      <c r="E24" s="828"/>
      <c r="F24" s="828"/>
      <c r="G24" s="828"/>
      <c r="H24" s="828"/>
      <c r="I24" s="828"/>
      <c r="J24" s="828"/>
      <c r="K24" s="829" t="s">
        <v>336</v>
      </c>
      <c r="L24" s="817">
        <f>+'TABELA ULAZNIH PODATAKA'!D190</f>
        <v>0</v>
      </c>
      <c r="BU24" s="147"/>
    </row>
    <row r="25" spans="1:126">
      <c r="A25" s="823">
        <f>+'TABELA ULAZNIH PODATAKA'!D184</f>
        <v>0</v>
      </c>
      <c r="B25" s="828"/>
      <c r="C25" s="828"/>
      <c r="D25" s="828"/>
      <c r="E25" s="828"/>
      <c r="F25" s="828"/>
      <c r="G25" s="828"/>
      <c r="H25" s="828"/>
      <c r="I25" s="828"/>
      <c r="J25" s="828"/>
      <c r="K25" s="829" t="s">
        <v>337</v>
      </c>
      <c r="L25" s="817">
        <f>+'TABELA ULAZNIH PODATAKA'!D191</f>
        <v>0</v>
      </c>
      <c r="BU25" s="147"/>
    </row>
    <row r="26" spans="1:126">
      <c r="A26" s="824"/>
      <c r="B26" s="828"/>
      <c r="C26" s="828"/>
      <c r="D26" s="828"/>
      <c r="E26" s="828"/>
      <c r="F26" s="828"/>
      <c r="G26" s="828"/>
      <c r="H26" s="828"/>
      <c r="I26" s="828"/>
      <c r="J26" s="828"/>
      <c r="K26" s="829" t="s">
        <v>339</v>
      </c>
      <c r="L26" s="817">
        <f>+'TABELA ULAZNIH PODATAKA'!D192</f>
        <v>0</v>
      </c>
      <c r="BU26" s="147"/>
    </row>
    <row r="27" spans="1:126">
      <c r="A27" s="947" t="s">
        <v>424</v>
      </c>
      <c r="B27" s="828"/>
      <c r="C27" s="828"/>
      <c r="D27" s="828"/>
      <c r="E27" s="828"/>
      <c r="F27" s="828"/>
      <c r="G27" s="828"/>
      <c r="H27" s="828"/>
      <c r="I27" s="828"/>
      <c r="J27" s="828"/>
      <c r="K27" s="829" t="s">
        <v>335</v>
      </c>
      <c r="L27" s="817">
        <f>+'PRILOG 1-Analiza usluga-03-2020'!J47</f>
        <v>0</v>
      </c>
      <c r="BU27" s="147"/>
    </row>
    <row r="28" spans="1:126">
      <c r="A28" s="947"/>
      <c r="B28" s="828"/>
      <c r="C28" s="828"/>
      <c r="D28" s="828"/>
      <c r="E28" s="828"/>
      <c r="F28" s="828"/>
      <c r="G28" s="828"/>
      <c r="H28" s="828"/>
      <c r="I28" s="828"/>
      <c r="J28" s="828"/>
      <c r="K28" s="829" t="s">
        <v>336</v>
      </c>
      <c r="L28" s="817">
        <f>+'PRILOG 1-Analiza usluga-03-2020'!K48</f>
        <v>0</v>
      </c>
      <c r="BU28" s="147"/>
    </row>
    <row r="29" spans="1:126">
      <c r="A29" s="947"/>
      <c r="B29" s="828"/>
      <c r="C29" s="828"/>
      <c r="D29" s="828"/>
      <c r="E29" s="828"/>
      <c r="F29" s="828"/>
      <c r="G29" s="828"/>
      <c r="H29" s="828"/>
      <c r="I29" s="828"/>
      <c r="J29" s="828"/>
      <c r="K29" s="829" t="s">
        <v>337</v>
      </c>
      <c r="L29" s="817">
        <f>+'PRILOG 1-Analiza usluga-03-2020'!K49</f>
        <v>0</v>
      </c>
      <c r="BU29" s="147"/>
    </row>
    <row r="30" spans="1:126" ht="15.75" thickBot="1">
      <c r="A30" s="947"/>
      <c r="B30" s="828"/>
      <c r="C30" s="828"/>
      <c r="D30" s="828"/>
      <c r="E30" s="828"/>
      <c r="F30" s="828"/>
      <c r="G30" s="828"/>
      <c r="H30" s="828"/>
      <c r="I30" s="828"/>
      <c r="J30" s="828"/>
      <c r="K30" s="830" t="s">
        <v>339</v>
      </c>
      <c r="L30" s="831">
        <f>+'PRILOG 1-Analiza usluga-03-2020'!L47</f>
        <v>0</v>
      </c>
      <c r="BU30" s="147"/>
    </row>
    <row r="31" spans="1:126" ht="15.75" hidden="1" thickTop="1">
      <c r="A31" s="832"/>
      <c r="K31" s="833"/>
      <c r="L31" s="834">
        <f>+L27+L28+L29+L30</f>
        <v>0</v>
      </c>
      <c r="BU31" s="147"/>
    </row>
    <row r="32" spans="1:126" hidden="1">
      <c r="A32" s="835"/>
      <c r="K32" s="833"/>
      <c r="L32" s="836">
        <f>IF(L19=0,0,L23/L19)</f>
        <v>0</v>
      </c>
      <c r="BU32" s="147"/>
    </row>
    <row r="33" spans="1:125" hidden="1">
      <c r="A33" s="835"/>
      <c r="K33" s="833"/>
      <c r="L33" s="836">
        <f t="shared" ref="L33:L35" si="2">IF(L20=0,0,L24/L20)</f>
        <v>0</v>
      </c>
      <c r="BU33" s="147"/>
    </row>
    <row r="34" spans="1:125" hidden="1">
      <c r="A34" s="835"/>
      <c r="K34" s="833"/>
      <c r="L34" s="836">
        <f t="shared" si="2"/>
        <v>0</v>
      </c>
      <c r="BU34" s="147"/>
    </row>
    <row r="35" spans="1:125" hidden="1">
      <c r="A35" s="835"/>
      <c r="K35" s="833"/>
      <c r="L35" s="836">
        <f t="shared" si="2"/>
        <v>0</v>
      </c>
      <c r="BU35" s="147"/>
    </row>
    <row r="36" spans="1:125" ht="15.75" hidden="1" thickBot="1">
      <c r="A36" s="835"/>
      <c r="K36" s="833"/>
      <c r="L36" s="834"/>
      <c r="BU36" s="147"/>
    </row>
    <row r="37" spans="1:125" ht="26.1" customHeight="1" thickTop="1">
      <c r="A37" s="837" t="s">
        <v>338</v>
      </c>
      <c r="B37" s="838"/>
      <c r="C37" s="838"/>
      <c r="D37" s="838"/>
      <c r="E37" s="838"/>
      <c r="F37" s="838"/>
      <c r="G37" s="838"/>
      <c r="H37" s="838"/>
      <c r="I37" s="838"/>
      <c r="J37" s="838"/>
      <c r="K37" s="948">
        <f>(+L32*L27+L33*L28+L34*L29+L35*L30)-1</f>
        <v>-1</v>
      </c>
      <c r="L37" s="949"/>
      <c r="BU37" s="147"/>
    </row>
    <row r="38" spans="1:125" ht="21.6" customHeight="1" thickBot="1">
      <c r="A38" s="839" t="s">
        <v>455</v>
      </c>
      <c r="B38" s="840"/>
      <c r="C38" s="840"/>
      <c r="D38" s="840"/>
      <c r="E38" s="840"/>
      <c r="F38" s="840"/>
      <c r="G38" s="840"/>
      <c r="H38" s="840"/>
      <c r="I38" s="840"/>
      <c r="J38" s="840"/>
      <c r="K38" s="944">
        <f>+IF((K37)/2&lt;0,0,(K37)/2)</f>
        <v>0</v>
      </c>
      <c r="L38" s="945"/>
      <c r="BU38" s="147"/>
    </row>
    <row r="39" spans="1:125" ht="15.75" thickTop="1">
      <c r="A39" s="201" t="s">
        <v>454</v>
      </c>
      <c r="BU39" s="147"/>
    </row>
    <row r="40" spans="1:125">
      <c r="A40" s="841" t="s">
        <v>553</v>
      </c>
      <c r="BU40" s="147"/>
    </row>
    <row r="41" spans="1:125">
      <c r="A41" s="201" t="s">
        <v>456</v>
      </c>
      <c r="BU41" s="147"/>
    </row>
    <row r="42" spans="1:125">
      <c r="BU42" s="147"/>
    </row>
    <row r="43" spans="1:125">
      <c r="BU43" s="147"/>
      <c r="DL43" s="66"/>
      <c r="DM43" s="66"/>
      <c r="DN43" s="66"/>
      <c r="DO43" s="66"/>
      <c r="DP43" s="66"/>
      <c r="DQ43" s="66"/>
      <c r="DR43" s="66"/>
      <c r="DS43" s="66"/>
      <c r="DT43" s="66"/>
      <c r="DU43" s="66"/>
    </row>
    <row r="44" spans="1:125">
      <c r="BU44" s="147"/>
      <c r="DL44" s="144"/>
      <c r="DM44" s="144"/>
      <c r="DN44" s="144"/>
      <c r="DO44" s="144"/>
      <c r="DP44" s="144"/>
      <c r="DQ44" s="144"/>
      <c r="DR44" s="144"/>
      <c r="DS44" s="144"/>
      <c r="DT44" s="144"/>
      <c r="DU44" s="144"/>
    </row>
    <row r="45" spans="1:125">
      <c r="BU45" s="147"/>
    </row>
    <row r="46" spans="1:125">
      <c r="BU46" s="147"/>
    </row>
    <row r="47" spans="1:125">
      <c r="BU47" s="147"/>
    </row>
    <row r="48" spans="1:125">
      <c r="BU48" s="147"/>
    </row>
    <row r="49" spans="73:73">
      <c r="BU49" s="147"/>
    </row>
    <row r="50" spans="73:73">
      <c r="BU50" s="147"/>
    </row>
    <row r="51" spans="73:73">
      <c r="BU51" s="147"/>
    </row>
    <row r="52" spans="73:73">
      <c r="BU52" s="147"/>
    </row>
    <row r="53" spans="73:73">
      <c r="BU53" s="147"/>
    </row>
    <row r="54" spans="73:73">
      <c r="BU54" s="147"/>
    </row>
    <row r="55" spans="73:73">
      <c r="BU55" s="147"/>
    </row>
    <row r="56" spans="73:73">
      <c r="BU56" s="147"/>
    </row>
    <row r="57" spans="73:73">
      <c r="BU57" s="147"/>
    </row>
    <row r="58" spans="73:73">
      <c r="BU58" s="147"/>
    </row>
    <row r="59" spans="73:73">
      <c r="BU59" s="147"/>
    </row>
    <row r="60" spans="73:73">
      <c r="BU60" s="147"/>
    </row>
    <row r="61" spans="73:73">
      <c r="BU61" s="147"/>
    </row>
    <row r="62" spans="73:73">
      <c r="BU62" s="147"/>
    </row>
    <row r="63" spans="73:73">
      <c r="BU63" s="147"/>
    </row>
    <row r="64" spans="73:73">
      <c r="BU64" s="147"/>
    </row>
    <row r="65" spans="73:73">
      <c r="BU65" s="147"/>
    </row>
    <row r="66" spans="73:73">
      <c r="BU66" s="147"/>
    </row>
    <row r="67" spans="73:73">
      <c r="BU67" s="147"/>
    </row>
    <row r="68" spans="73:73">
      <c r="BU68" s="147"/>
    </row>
    <row r="69" spans="73:73">
      <c r="BU69" s="147"/>
    </row>
    <row r="70" spans="73:73">
      <c r="BU70" s="147"/>
    </row>
    <row r="71" spans="73:73">
      <c r="BU71" s="147"/>
    </row>
    <row r="72" spans="73:73">
      <c r="BU72" s="147"/>
    </row>
    <row r="73" spans="73:73">
      <c r="BU73" s="147"/>
    </row>
  </sheetData>
  <sheetProtection algorithmName="SHA-512" hashValue="5iTqn1gw4WI4vmNjVf16NY3vBTsyiqteiAAXz2KoBzgQ1qA1AVq//rPsNlT9+kpp6AE3e1FjTmDiSpIVJuPR9w==" saltValue="7bWYSGIxf8jPB+WOklUkiA==" spinCount="100000" sheet="1" formatCells="0" formatColumns="0" formatRows="0" insertColumns="0" insertRows="0" insertHyperlinks="0" deleteColumns="0" deleteRows="0" sort="0" autoFilter="0" pivotTables="0"/>
  <mergeCells count="7">
    <mergeCell ref="A5:DX5"/>
    <mergeCell ref="K38:L38"/>
    <mergeCell ref="A13:A14"/>
    <mergeCell ref="A27:A30"/>
    <mergeCell ref="K37:L37"/>
    <mergeCell ref="A19:A20"/>
    <mergeCell ref="A23:A24"/>
  </mergeCells>
  <pageMargins left="0.7" right="0.7" top="0.75" bottom="0.75" header="0.3" footer="0.3"/>
  <pageSetup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R61"/>
  <sheetViews>
    <sheetView topLeftCell="A43" zoomScale="122" zoomScaleNormal="122" workbookViewId="0">
      <selection activeCell="C4" sqref="C4"/>
    </sheetView>
  </sheetViews>
  <sheetFormatPr defaultColWidth="8.85546875" defaultRowHeight="15"/>
  <cols>
    <col min="2" max="3" width="9.140625" style="33"/>
    <col min="4" max="4" width="9.28515625" style="33" bestFit="1" customWidth="1"/>
    <col min="5" max="5" width="14.28515625" style="33" customWidth="1"/>
    <col min="6" max="8" width="14.28515625" style="35" customWidth="1"/>
    <col min="9" max="10" width="19.28515625" style="35" customWidth="1"/>
    <col min="11" max="11" width="19.28515625" style="35" hidden="1" customWidth="1"/>
    <col min="12" max="12" width="14.42578125" style="97" customWidth="1"/>
    <col min="13" max="13" width="8.85546875" hidden="1" customWidth="1"/>
    <col min="14" max="14" width="8.85546875" style="35" hidden="1" customWidth="1"/>
    <col min="15" max="15" width="0" style="35" hidden="1" customWidth="1"/>
    <col min="16" max="16" width="8.85546875" style="35" hidden="1" customWidth="1"/>
    <col min="17" max="17" width="0" style="35" hidden="1" customWidth="1"/>
    <col min="18" max="18" width="14.42578125" style="35" customWidth="1"/>
  </cols>
  <sheetData>
    <row r="1" spans="2:18" ht="38.1" customHeight="1">
      <c r="B1" s="369"/>
      <c r="C1" s="369"/>
      <c r="D1" s="369"/>
      <c r="E1" s="369"/>
      <c r="F1" s="370"/>
      <c r="G1" s="370"/>
      <c r="H1" s="370"/>
      <c r="I1" s="370"/>
      <c r="J1" s="370"/>
      <c r="K1" s="370"/>
      <c r="L1" s="371" t="s">
        <v>444</v>
      </c>
    </row>
    <row r="2" spans="2:18">
      <c r="B2" s="372" t="s">
        <v>51</v>
      </c>
      <c r="C2" s="925">
        <f>+'TABELA ULAZNIH PODATAKA'!B2</f>
        <v>0</v>
      </c>
      <c r="D2" s="925"/>
      <c r="E2" s="925"/>
      <c r="F2" s="925"/>
      <c r="G2" s="925"/>
      <c r="H2" s="925"/>
      <c r="I2" s="925"/>
      <c r="J2" s="925"/>
      <c r="K2" s="925"/>
      <c r="L2" s="954"/>
    </row>
    <row r="3" spans="2:18" ht="0.75" customHeight="1">
      <c r="B3" s="282"/>
      <c r="C3" s="954"/>
      <c r="D3" s="954"/>
      <c r="E3" s="954"/>
      <c r="F3" s="954"/>
      <c r="G3" s="954"/>
      <c r="H3" s="954"/>
      <c r="I3" s="954"/>
      <c r="J3" s="954"/>
      <c r="K3" s="954"/>
      <c r="L3" s="954"/>
    </row>
    <row r="4" spans="2:18">
      <c r="B4" s="361"/>
      <c r="C4" s="278"/>
      <c r="D4" s="278"/>
      <c r="E4" s="270"/>
      <c r="F4" s="270"/>
      <c r="G4" s="270"/>
      <c r="H4" s="270"/>
      <c r="I4" s="270"/>
      <c r="J4" s="270"/>
      <c r="K4" s="270"/>
      <c r="L4" s="362"/>
    </row>
    <row r="5" spans="2:18" ht="17.25" customHeight="1">
      <c r="B5" s="956" t="s">
        <v>461</v>
      </c>
      <c r="C5" s="957"/>
      <c r="D5" s="957"/>
      <c r="E5" s="957"/>
      <c r="F5" s="957"/>
      <c r="G5" s="957"/>
      <c r="H5" s="957"/>
      <c r="I5" s="957"/>
      <c r="J5" s="957"/>
      <c r="K5" s="957"/>
      <c r="L5" s="958"/>
    </row>
    <row r="6" spans="2:18" ht="15.75" thickBot="1">
      <c r="B6" s="361"/>
      <c r="C6" s="277"/>
      <c r="D6" s="277"/>
      <c r="E6" s="277"/>
      <c r="F6" s="279"/>
      <c r="G6" s="279"/>
      <c r="H6" s="279"/>
      <c r="I6" s="279"/>
      <c r="J6" s="279"/>
      <c r="K6" s="279"/>
      <c r="L6" s="363"/>
    </row>
    <row r="7" spans="2:18" s="33" customFormat="1" ht="75.75" thickBot="1">
      <c r="B7" s="411" t="s">
        <v>17</v>
      </c>
      <c r="C7" s="412" t="s">
        <v>18</v>
      </c>
      <c r="D7" s="412" t="s">
        <v>458</v>
      </c>
      <c r="E7" s="412" t="s">
        <v>459</v>
      </c>
      <c r="F7" s="413" t="s">
        <v>407</v>
      </c>
      <c r="G7" s="413" t="s">
        <v>49</v>
      </c>
      <c r="H7" s="413" t="s">
        <v>71</v>
      </c>
      <c r="I7" s="413" t="s">
        <v>430</v>
      </c>
      <c r="J7" s="414" t="s">
        <v>460</v>
      </c>
      <c r="K7" s="414" t="s">
        <v>464</v>
      </c>
      <c r="L7" s="415" t="s">
        <v>462</v>
      </c>
      <c r="N7" s="35"/>
      <c r="O7" s="35"/>
      <c r="P7" s="35"/>
      <c r="Q7" s="35"/>
      <c r="R7" s="35"/>
    </row>
    <row r="8" spans="2:18" ht="29.25" customHeight="1">
      <c r="B8" s="959" t="s">
        <v>457</v>
      </c>
      <c r="C8" s="960"/>
      <c r="D8" s="376">
        <f>+IF('TABELA ULAZNIH PODATAKA'!D63&gt;0,'PRILOG 1-Analiza usluga-03-2020'!N47*(1-'TABELA ULAZNIH PODATAKA'!D63)+'TABELA ULAZNIH PODATAKA'!D70*'TABELA ULAZNIH PODATAKA'!D63,'PRILOG 1-Analiza usluga-03-2020'!N47)</f>
        <v>0</v>
      </c>
      <c r="E8" s="376">
        <f>+IF('TABELA ULAZNIH PODATAKA'!D63&gt;0,'PRILOG 1-Analiza usluga-03-2020'!M47*(1-'TABELA ULAZNIH PODATAKA'!D63)+'TABELA ULAZNIH PODATAKA'!D63*'TABELA ULAZNIH PODATAKA'!D69,'PRILOG 1-Analiza usluga-03-2020'!M47)</f>
        <v>0</v>
      </c>
      <c r="F8" s="376">
        <f>+IF('TABELA ULAZNIH PODATAKA'!D63&gt;0,'PRILOG 1-Analiza usluga-03-2020'!J47*(1-'TABELA ULAZNIH PODATAKA'!D63)+'TABELA ULAZNIH PODATAKA'!D65*'TABELA ULAZNIH PODATAKA'!D63,'PRILOG 1-Analiza usluga-03-2020'!J47)</f>
        <v>0</v>
      </c>
      <c r="G8" s="376">
        <f>+IF('TABELA ULAZNIH PODATAKA'!D$63&gt;0,'PRILOG 1-Analiza usluga-03-2020'!K48*(1-'TABELA ULAZNIH PODATAKA'!$D63)+'TABELA ULAZNIH PODATAKA'!$D67*'TABELA ULAZNIH PODATAKA'!D63,'PRILOG 1-Analiza usluga-03-2020'!K48)</f>
        <v>0</v>
      </c>
      <c r="H8" s="376">
        <f>+IF('TABELA ULAZNIH PODATAKA'!D63&gt;0,'PRILOG 1-Analiza usluga-03-2020'!K49*(1-'TABELA ULAZNIH PODATAKA'!$D63)+'TABELA ULAZNIH PODATAKA'!$D67*'TABELA ULAZNIH PODATAKA'!D63,'PRILOG 1-Analiza usluga-03-2020'!K49)</f>
        <v>0</v>
      </c>
      <c r="I8" s="376">
        <f>+IF('TABELA ULAZNIH PODATAKA'!D63&gt;0,'PRILOG 1-Analiza usluga-03-2020'!L47*(1-'TABELA ULAZNIH PODATAKA'!D63)+'TABELA ULAZNIH PODATAKA'!D63*'TABELA ULAZNIH PODATAKA'!D68,'PRILOG 1-Analiza usluga-03-2020'!L47)</f>
        <v>0</v>
      </c>
      <c r="J8" s="409"/>
      <c r="K8" s="409"/>
      <c r="L8" s="377"/>
    </row>
    <row r="9" spans="2:18">
      <c r="B9" s="845"/>
      <c r="C9" s="846"/>
      <c r="D9" s="373">
        <v>0</v>
      </c>
      <c r="E9" s="455">
        <v>1</v>
      </c>
      <c r="F9" s="842">
        <v>100</v>
      </c>
      <c r="G9" s="842">
        <f>+'Statistički niz'!D75</f>
        <v>100</v>
      </c>
      <c r="H9" s="842">
        <v>100</v>
      </c>
      <c r="I9" s="842">
        <v>100</v>
      </c>
      <c r="J9" s="452">
        <f>+F9/F$9*F$8+G9/G$9*G$8+H9/H$9*H$8+I9/I$9*I$8</f>
        <v>0</v>
      </c>
      <c r="K9" s="408"/>
      <c r="L9" s="374">
        <f t="shared" ref="L9:L40" si="0">+IF(J9&lt;0.9999,1,J9+E9/E$23*E$8)</f>
        <v>1</v>
      </c>
    </row>
    <row r="10" spans="2:18">
      <c r="B10" s="847"/>
      <c r="C10" s="848"/>
      <c r="D10" s="373">
        <v>0</v>
      </c>
      <c r="E10" s="454">
        <v>1</v>
      </c>
      <c r="F10" s="843"/>
      <c r="G10" s="843"/>
      <c r="H10" s="843"/>
      <c r="I10" s="843"/>
      <c r="J10" s="451">
        <f t="shared" ref="J10:J54" si="1">+F10/F$9*F$8+G10/G$9*G$8+H10/H$9*H$8+I10/I$9*I$8</f>
        <v>0</v>
      </c>
      <c r="K10" s="407"/>
      <c r="L10" s="378">
        <f t="shared" si="0"/>
        <v>1</v>
      </c>
    </row>
    <row r="11" spans="2:18">
      <c r="B11" s="845"/>
      <c r="C11" s="846"/>
      <c r="D11" s="373">
        <v>0</v>
      </c>
      <c r="E11" s="455">
        <v>1</v>
      </c>
      <c r="F11" s="842"/>
      <c r="G11" s="842"/>
      <c r="H11" s="842"/>
      <c r="I11" s="842"/>
      <c r="J11" s="452">
        <f t="shared" si="1"/>
        <v>0</v>
      </c>
      <c r="K11" s="408"/>
      <c r="L11" s="374">
        <f t="shared" si="0"/>
        <v>1</v>
      </c>
    </row>
    <row r="12" spans="2:18">
      <c r="B12" s="847"/>
      <c r="C12" s="848"/>
      <c r="D12" s="373">
        <v>0</v>
      </c>
      <c r="E12" s="454">
        <v>1</v>
      </c>
      <c r="F12" s="843"/>
      <c r="G12" s="843"/>
      <c r="H12" s="843"/>
      <c r="I12" s="843"/>
      <c r="J12" s="451">
        <f t="shared" si="1"/>
        <v>0</v>
      </c>
      <c r="K12" s="407"/>
      <c r="L12" s="378">
        <f t="shared" si="0"/>
        <v>1</v>
      </c>
    </row>
    <row r="13" spans="2:18">
      <c r="B13" s="845"/>
      <c r="C13" s="846"/>
      <c r="D13" s="373">
        <v>0</v>
      </c>
      <c r="E13" s="455">
        <v>1</v>
      </c>
      <c r="F13" s="842"/>
      <c r="G13" s="842"/>
      <c r="H13" s="842"/>
      <c r="I13" s="842"/>
      <c r="J13" s="452">
        <f>+F13/F$9*F$8+G13/G$9*G$8+H13/H$9*H$8+I13/I$9*I$8</f>
        <v>0</v>
      </c>
      <c r="K13" s="408"/>
      <c r="L13" s="374">
        <f t="shared" si="0"/>
        <v>1</v>
      </c>
    </row>
    <row r="14" spans="2:18">
      <c r="B14" s="847"/>
      <c r="C14" s="848"/>
      <c r="D14" s="373">
        <v>0</v>
      </c>
      <c r="E14" s="454">
        <v>1</v>
      </c>
      <c r="F14" s="843"/>
      <c r="G14" s="843"/>
      <c r="H14" s="843"/>
      <c r="I14" s="843"/>
      <c r="J14" s="451">
        <f t="shared" si="1"/>
        <v>0</v>
      </c>
      <c r="K14" s="407"/>
      <c r="L14" s="378">
        <f t="shared" si="0"/>
        <v>1</v>
      </c>
    </row>
    <row r="15" spans="2:18">
      <c r="B15" s="845"/>
      <c r="C15" s="846"/>
      <c r="D15" s="373">
        <v>0</v>
      </c>
      <c r="E15" s="455">
        <v>1</v>
      </c>
      <c r="F15" s="842"/>
      <c r="G15" s="842"/>
      <c r="H15" s="842"/>
      <c r="I15" s="842"/>
      <c r="J15" s="452">
        <f t="shared" si="1"/>
        <v>0</v>
      </c>
      <c r="K15" s="408"/>
      <c r="L15" s="374">
        <f t="shared" si="0"/>
        <v>1</v>
      </c>
    </row>
    <row r="16" spans="2:18">
      <c r="B16" s="847"/>
      <c r="C16" s="848"/>
      <c r="D16" s="373">
        <v>0</v>
      </c>
      <c r="E16" s="454">
        <v>1</v>
      </c>
      <c r="F16" s="843"/>
      <c r="G16" s="843"/>
      <c r="H16" s="843"/>
      <c r="I16" s="843"/>
      <c r="J16" s="451">
        <f t="shared" si="1"/>
        <v>0</v>
      </c>
      <c r="K16" s="407"/>
      <c r="L16" s="378">
        <f t="shared" si="0"/>
        <v>1</v>
      </c>
    </row>
    <row r="17" spans="2:16">
      <c r="B17" s="845"/>
      <c r="C17" s="846"/>
      <c r="D17" s="373">
        <v>0</v>
      </c>
      <c r="E17" s="455">
        <v>1</v>
      </c>
      <c r="F17" s="842"/>
      <c r="G17" s="842"/>
      <c r="H17" s="842"/>
      <c r="I17" s="842"/>
      <c r="J17" s="452">
        <f t="shared" si="1"/>
        <v>0</v>
      </c>
      <c r="K17" s="408"/>
      <c r="L17" s="374">
        <f t="shared" si="0"/>
        <v>1</v>
      </c>
    </row>
    <row r="18" spans="2:16">
      <c r="B18" s="847"/>
      <c r="C18" s="848"/>
      <c r="D18" s="373">
        <v>0</v>
      </c>
      <c r="E18" s="454">
        <v>1</v>
      </c>
      <c r="F18" s="843"/>
      <c r="G18" s="843"/>
      <c r="H18" s="843"/>
      <c r="I18" s="843"/>
      <c r="J18" s="451">
        <f t="shared" si="1"/>
        <v>0</v>
      </c>
      <c r="K18" s="407"/>
      <c r="L18" s="378">
        <f t="shared" si="0"/>
        <v>1</v>
      </c>
    </row>
    <row r="19" spans="2:16">
      <c r="B19" s="845"/>
      <c r="C19" s="846"/>
      <c r="D19" s="373">
        <v>0</v>
      </c>
      <c r="E19" s="455">
        <v>1</v>
      </c>
      <c r="F19" s="842"/>
      <c r="G19" s="842"/>
      <c r="H19" s="842"/>
      <c r="I19" s="842"/>
      <c r="J19" s="452">
        <f t="shared" si="1"/>
        <v>0</v>
      </c>
      <c r="K19" s="408"/>
      <c r="L19" s="374">
        <f t="shared" si="0"/>
        <v>1</v>
      </c>
    </row>
    <row r="20" spans="2:16">
      <c r="B20" s="847"/>
      <c r="C20" s="848"/>
      <c r="D20" s="373">
        <v>0</v>
      </c>
      <c r="E20" s="454">
        <v>1</v>
      </c>
      <c r="F20" s="843"/>
      <c r="G20" s="843"/>
      <c r="H20" s="843"/>
      <c r="I20" s="843"/>
      <c r="J20" s="451">
        <f t="shared" si="1"/>
        <v>0</v>
      </c>
      <c r="K20" s="407"/>
      <c r="L20" s="378">
        <f t="shared" si="0"/>
        <v>1</v>
      </c>
    </row>
    <row r="21" spans="2:16">
      <c r="B21" s="845"/>
      <c r="C21" s="846"/>
      <c r="D21" s="373">
        <v>0</v>
      </c>
      <c r="E21" s="455">
        <v>1</v>
      </c>
      <c r="F21" s="842"/>
      <c r="G21" s="842"/>
      <c r="H21" s="842"/>
      <c r="I21" s="842"/>
      <c r="J21" s="452">
        <f t="shared" si="1"/>
        <v>0</v>
      </c>
      <c r="K21" s="408"/>
      <c r="L21" s="374">
        <f t="shared" si="0"/>
        <v>1</v>
      </c>
    </row>
    <row r="22" spans="2:16">
      <c r="B22" s="847"/>
      <c r="C22" s="848"/>
      <c r="D22" s="373">
        <v>0</v>
      </c>
      <c r="E22" s="454">
        <v>1</v>
      </c>
      <c r="F22" s="843"/>
      <c r="G22" s="843"/>
      <c r="H22" s="843"/>
      <c r="I22" s="843"/>
      <c r="J22" s="451">
        <f t="shared" si="1"/>
        <v>0</v>
      </c>
      <c r="K22" s="407"/>
      <c r="L22" s="378">
        <f t="shared" si="0"/>
        <v>1</v>
      </c>
    </row>
    <row r="23" spans="2:16" ht="16.5" thickBot="1">
      <c r="B23" s="845"/>
      <c r="C23" s="846"/>
      <c r="D23" s="373">
        <v>0</v>
      </c>
      <c r="E23" s="455">
        <v>1</v>
      </c>
      <c r="F23" s="842"/>
      <c r="G23" s="842"/>
      <c r="H23" s="842"/>
      <c r="I23" s="842"/>
      <c r="J23" s="452">
        <f t="shared" si="1"/>
        <v>0</v>
      </c>
      <c r="K23" s="408"/>
      <c r="L23" s="374">
        <f t="shared" si="0"/>
        <v>1</v>
      </c>
      <c r="N23" s="123">
        <v>108.18</v>
      </c>
      <c r="P23" s="136">
        <v>132.05282112845137</v>
      </c>
    </row>
    <row r="24" spans="2:16" ht="16.5" thickBot="1">
      <c r="B24" s="847"/>
      <c r="C24" s="848"/>
      <c r="D24" s="373">
        <v>0</v>
      </c>
      <c r="E24" s="454">
        <v>1</v>
      </c>
      <c r="F24" s="843"/>
      <c r="G24" s="843"/>
      <c r="H24" s="843"/>
      <c r="I24" s="843"/>
      <c r="J24" s="451">
        <f t="shared" si="1"/>
        <v>0</v>
      </c>
      <c r="K24" s="407"/>
      <c r="L24" s="378">
        <f t="shared" si="0"/>
        <v>1</v>
      </c>
      <c r="N24" s="123">
        <v>108.31</v>
      </c>
      <c r="P24" s="137">
        <v>131.69267707082835</v>
      </c>
    </row>
    <row r="25" spans="2:16" ht="16.5" thickBot="1">
      <c r="B25" s="845"/>
      <c r="C25" s="846"/>
      <c r="D25" s="373">
        <v>0</v>
      </c>
      <c r="E25" s="455">
        <v>1</v>
      </c>
      <c r="F25" s="842"/>
      <c r="G25" s="842"/>
      <c r="H25" s="842"/>
      <c r="I25" s="842"/>
      <c r="J25" s="452">
        <f t="shared" si="1"/>
        <v>0</v>
      </c>
      <c r="K25" s="408"/>
      <c r="L25" s="374">
        <f t="shared" si="0"/>
        <v>1</v>
      </c>
      <c r="N25" s="123">
        <v>108.76</v>
      </c>
      <c r="P25" s="138">
        <v>133.01320528211284</v>
      </c>
    </row>
    <row r="26" spans="2:16" ht="16.5" thickBot="1">
      <c r="B26" s="847"/>
      <c r="C26" s="848"/>
      <c r="D26" s="373">
        <v>0</v>
      </c>
      <c r="E26" s="454">
        <v>1</v>
      </c>
      <c r="F26" s="843"/>
      <c r="G26" s="843"/>
      <c r="H26" s="843"/>
      <c r="I26" s="843"/>
      <c r="J26" s="451">
        <f t="shared" si="1"/>
        <v>0</v>
      </c>
      <c r="K26" s="407"/>
      <c r="L26" s="378">
        <f t="shared" si="0"/>
        <v>1</v>
      </c>
      <c r="N26" s="123">
        <v>109.8</v>
      </c>
      <c r="P26" s="136">
        <v>135.53421368547419</v>
      </c>
    </row>
    <row r="27" spans="2:16" ht="16.5" thickBot="1">
      <c r="B27" s="845"/>
      <c r="C27" s="846"/>
      <c r="D27" s="373">
        <v>0</v>
      </c>
      <c r="E27" s="455">
        <v>1</v>
      </c>
      <c r="F27" s="842"/>
      <c r="G27" s="842"/>
      <c r="H27" s="842"/>
      <c r="I27" s="842"/>
      <c r="J27" s="452">
        <f t="shared" si="1"/>
        <v>0</v>
      </c>
      <c r="K27" s="408"/>
      <c r="L27" s="374">
        <f t="shared" si="0"/>
        <v>1</v>
      </c>
      <c r="N27" s="123">
        <v>111.93</v>
      </c>
      <c r="P27" s="136">
        <v>153.78151260504202</v>
      </c>
    </row>
    <row r="28" spans="2:16" ht="16.5" thickBot="1">
      <c r="B28" s="847"/>
      <c r="C28" s="848"/>
      <c r="D28" s="373">
        <v>0</v>
      </c>
      <c r="E28" s="454">
        <v>1</v>
      </c>
      <c r="F28" s="843"/>
      <c r="G28" s="843"/>
      <c r="H28" s="843"/>
      <c r="I28" s="843"/>
      <c r="J28" s="451">
        <f t="shared" si="1"/>
        <v>0</v>
      </c>
      <c r="K28" s="407"/>
      <c r="L28" s="378">
        <f t="shared" si="0"/>
        <v>1</v>
      </c>
      <c r="N28" s="123">
        <v>114.94</v>
      </c>
      <c r="P28" s="136">
        <v>154.50180072028809</v>
      </c>
    </row>
    <row r="29" spans="2:16" ht="16.5" thickBot="1">
      <c r="B29" s="845"/>
      <c r="C29" s="846"/>
      <c r="D29" s="373">
        <v>0</v>
      </c>
      <c r="E29" s="455">
        <v>1</v>
      </c>
      <c r="F29" s="842"/>
      <c r="G29" s="842"/>
      <c r="H29" s="842"/>
      <c r="I29" s="842"/>
      <c r="J29" s="452">
        <f t="shared" si="1"/>
        <v>0</v>
      </c>
      <c r="K29" s="408"/>
      <c r="L29" s="374">
        <f t="shared" si="0"/>
        <v>1</v>
      </c>
      <c r="N29" s="123">
        <v>116.27</v>
      </c>
      <c r="P29" s="136">
        <v>158.1032412965186</v>
      </c>
    </row>
    <row r="30" spans="2:16" ht="16.5" thickBot="1">
      <c r="B30" s="847"/>
      <c r="C30" s="848"/>
      <c r="D30" s="373">
        <v>0</v>
      </c>
      <c r="E30" s="454">
        <v>1</v>
      </c>
      <c r="F30" s="843"/>
      <c r="G30" s="843"/>
      <c r="H30" s="843"/>
      <c r="I30" s="843"/>
      <c r="J30" s="451">
        <f t="shared" si="1"/>
        <v>0</v>
      </c>
      <c r="K30" s="407"/>
      <c r="L30" s="378">
        <f t="shared" si="0"/>
        <v>1</v>
      </c>
      <c r="N30" s="123">
        <v>118.14</v>
      </c>
      <c r="P30" s="136">
        <v>157.02280912364947</v>
      </c>
    </row>
    <row r="31" spans="2:16" ht="16.5" thickBot="1">
      <c r="B31" s="845"/>
      <c r="C31" s="846"/>
      <c r="D31" s="373">
        <v>0</v>
      </c>
      <c r="E31" s="455">
        <v>1</v>
      </c>
      <c r="F31" s="842"/>
      <c r="G31" s="842"/>
      <c r="H31" s="842"/>
      <c r="I31" s="842"/>
      <c r="J31" s="452">
        <f t="shared" si="1"/>
        <v>0</v>
      </c>
      <c r="K31" s="408"/>
      <c r="L31" s="374">
        <f t="shared" si="0"/>
        <v>1</v>
      </c>
      <c r="N31" s="123">
        <v>119.75</v>
      </c>
      <c r="P31" s="136">
        <v>154.74189675870349</v>
      </c>
    </row>
    <row r="32" spans="2:16" ht="16.5" thickBot="1">
      <c r="B32" s="847"/>
      <c r="C32" s="848"/>
      <c r="D32" s="373">
        <v>0</v>
      </c>
      <c r="E32" s="454">
        <v>1</v>
      </c>
      <c r="F32" s="843"/>
      <c r="G32" s="843"/>
      <c r="H32" s="843"/>
      <c r="I32" s="843"/>
      <c r="J32" s="451">
        <f t="shared" si="1"/>
        <v>0</v>
      </c>
      <c r="K32" s="407"/>
      <c r="L32" s="378">
        <f t="shared" si="0"/>
        <v>1</v>
      </c>
      <c r="N32" s="123">
        <v>119.9</v>
      </c>
      <c r="P32" s="136">
        <v>148.25930372148858</v>
      </c>
    </row>
    <row r="33" spans="2:16" ht="16.5" thickBot="1">
      <c r="B33" s="845"/>
      <c r="C33" s="846"/>
      <c r="D33" s="373">
        <v>0</v>
      </c>
      <c r="E33" s="455">
        <v>1</v>
      </c>
      <c r="F33" s="842"/>
      <c r="G33" s="842"/>
      <c r="H33" s="842"/>
      <c r="I33" s="842"/>
      <c r="J33" s="452">
        <f t="shared" si="1"/>
        <v>0</v>
      </c>
      <c r="K33" s="408"/>
      <c r="L33" s="374">
        <f t="shared" si="0"/>
        <v>1</v>
      </c>
      <c r="N33" s="123">
        <v>120.21</v>
      </c>
      <c r="P33" s="136">
        <v>146.21848739495798</v>
      </c>
    </row>
    <row r="34" spans="2:16" ht="16.5" thickBot="1">
      <c r="B34" s="847"/>
      <c r="C34" s="848"/>
      <c r="D34" s="373">
        <v>0</v>
      </c>
      <c r="E34" s="454">
        <v>1</v>
      </c>
      <c r="F34" s="843"/>
      <c r="G34" s="843"/>
      <c r="H34" s="843"/>
      <c r="I34" s="843"/>
      <c r="J34" s="451">
        <f t="shared" si="1"/>
        <v>0</v>
      </c>
      <c r="K34" s="407"/>
      <c r="L34" s="378">
        <f t="shared" si="0"/>
        <v>1</v>
      </c>
      <c r="N34" s="123">
        <v>121.37</v>
      </c>
      <c r="P34" s="136">
        <v>161.34453781512605</v>
      </c>
    </row>
    <row r="35" spans="2:16" ht="16.5" thickBot="1">
      <c r="B35" s="845"/>
      <c r="C35" s="846"/>
      <c r="D35" s="373">
        <v>0</v>
      </c>
      <c r="E35" s="455">
        <v>1</v>
      </c>
      <c r="F35" s="842"/>
      <c r="G35" s="842"/>
      <c r="H35" s="842"/>
      <c r="I35" s="842"/>
      <c r="J35" s="452">
        <f t="shared" si="1"/>
        <v>0</v>
      </c>
      <c r="K35" s="408"/>
      <c r="L35" s="374">
        <f t="shared" si="0"/>
        <v>1</v>
      </c>
      <c r="N35" s="123">
        <v>122.19</v>
      </c>
      <c r="P35" s="136">
        <v>150.06002400960384</v>
      </c>
    </row>
    <row r="36" spans="2:16" ht="16.5" thickBot="1">
      <c r="B36" s="847"/>
      <c r="C36" s="848"/>
      <c r="D36" s="373">
        <v>0</v>
      </c>
      <c r="E36" s="454">
        <v>1</v>
      </c>
      <c r="F36" s="843"/>
      <c r="G36" s="843"/>
      <c r="H36" s="843"/>
      <c r="I36" s="843"/>
      <c r="J36" s="451">
        <f t="shared" si="1"/>
        <v>0</v>
      </c>
      <c r="K36" s="407"/>
      <c r="L36" s="378">
        <f t="shared" si="0"/>
        <v>1</v>
      </c>
      <c r="N36" s="123">
        <v>122.03</v>
      </c>
      <c r="P36" s="136">
        <v>130.13205282112844</v>
      </c>
    </row>
    <row r="37" spans="2:16" ht="16.5" thickBot="1">
      <c r="B37" s="845"/>
      <c r="C37" s="846"/>
      <c r="D37" s="373">
        <v>0</v>
      </c>
      <c r="E37" s="455">
        <v>1</v>
      </c>
      <c r="F37" s="842"/>
      <c r="G37" s="842"/>
      <c r="H37" s="842"/>
      <c r="I37" s="842"/>
      <c r="J37" s="452">
        <f t="shared" si="1"/>
        <v>0</v>
      </c>
      <c r="K37" s="408"/>
      <c r="L37" s="374">
        <f t="shared" si="0"/>
        <v>1</v>
      </c>
      <c r="N37" s="123">
        <v>122.34</v>
      </c>
      <c r="P37" s="136">
        <v>136.57977190876352</v>
      </c>
    </row>
    <row r="38" spans="2:16" ht="16.5" thickBot="1">
      <c r="B38" s="847"/>
      <c r="C38" s="848"/>
      <c r="D38" s="373">
        <v>0</v>
      </c>
      <c r="E38" s="454">
        <v>1</v>
      </c>
      <c r="F38" s="843"/>
      <c r="G38" s="843"/>
      <c r="H38" s="843"/>
      <c r="I38" s="843"/>
      <c r="J38" s="451">
        <f t="shared" si="1"/>
        <v>0</v>
      </c>
      <c r="K38" s="407"/>
      <c r="L38" s="378">
        <f t="shared" si="0"/>
        <v>1</v>
      </c>
      <c r="N38" s="123">
        <v>122.68</v>
      </c>
      <c r="P38" s="136">
        <v>124.82124849939976</v>
      </c>
    </row>
    <row r="39" spans="2:16" ht="16.5" thickBot="1">
      <c r="B39" s="845"/>
      <c r="C39" s="846"/>
      <c r="D39" s="373">
        <v>0</v>
      </c>
      <c r="E39" s="455">
        <v>1</v>
      </c>
      <c r="F39" s="842"/>
      <c r="G39" s="842"/>
      <c r="H39" s="842"/>
      <c r="I39" s="842"/>
      <c r="J39" s="452">
        <f t="shared" si="1"/>
        <v>0</v>
      </c>
      <c r="K39" s="408"/>
      <c r="L39" s="374">
        <f t="shared" si="0"/>
        <v>1</v>
      </c>
      <c r="N39" s="123">
        <v>123.73</v>
      </c>
      <c r="P39" s="136">
        <v>121.2032412965186</v>
      </c>
    </row>
    <row r="40" spans="2:16" ht="16.5" thickBot="1">
      <c r="B40" s="847"/>
      <c r="C40" s="848"/>
      <c r="D40" s="373">
        <v>0</v>
      </c>
      <c r="E40" s="454">
        <v>1</v>
      </c>
      <c r="F40" s="843"/>
      <c r="G40" s="843"/>
      <c r="H40" s="843"/>
      <c r="I40" s="843"/>
      <c r="J40" s="451">
        <f t="shared" si="1"/>
        <v>0</v>
      </c>
      <c r="K40" s="407"/>
      <c r="L40" s="374">
        <f t="shared" si="0"/>
        <v>1</v>
      </c>
      <c r="N40" s="123">
        <v>125.16</v>
      </c>
      <c r="P40" s="136">
        <v>118.48973589435774</v>
      </c>
    </row>
    <row r="41" spans="2:16" ht="16.5" thickBot="1">
      <c r="B41" s="847"/>
      <c r="C41" s="848"/>
      <c r="D41" s="211">
        <v>0</v>
      </c>
      <c r="E41" s="454">
        <v>1</v>
      </c>
      <c r="F41" s="843"/>
      <c r="G41" s="843"/>
      <c r="H41" s="843"/>
      <c r="I41" s="843"/>
      <c r="J41" s="451">
        <f t="shared" si="1"/>
        <v>0</v>
      </c>
      <c r="K41" s="407"/>
      <c r="L41" s="378">
        <f t="shared" ref="L41:L54" si="2">+IF(J41&lt;0.9999,1,J41+E41/E$23*E$8)</f>
        <v>1</v>
      </c>
      <c r="N41" s="123">
        <v>125.88</v>
      </c>
      <c r="P41" s="136">
        <v>112.15822328931573</v>
      </c>
    </row>
    <row r="42" spans="2:16" ht="16.5" thickBot="1">
      <c r="B42" s="845"/>
      <c r="C42" s="846"/>
      <c r="D42" s="373">
        <v>0</v>
      </c>
      <c r="E42" s="455">
        <v>1</v>
      </c>
      <c r="F42" s="842"/>
      <c r="G42" s="842"/>
      <c r="H42" s="842"/>
      <c r="I42" s="842"/>
      <c r="J42" s="452">
        <f t="shared" si="1"/>
        <v>0</v>
      </c>
      <c r="K42" s="408"/>
      <c r="L42" s="374">
        <f t="shared" si="2"/>
        <v>1</v>
      </c>
      <c r="N42" s="123">
        <v>127.91</v>
      </c>
      <c r="P42" s="136">
        <v>117.58523409363745</v>
      </c>
    </row>
    <row r="43" spans="2:16" ht="16.5" thickBot="1">
      <c r="B43" s="845"/>
      <c r="C43" s="848"/>
      <c r="D43" s="211">
        <v>0</v>
      </c>
      <c r="E43" s="454">
        <v>1</v>
      </c>
      <c r="F43" s="843"/>
      <c r="G43" s="843"/>
      <c r="H43" s="843"/>
      <c r="I43" s="843"/>
      <c r="J43" s="451">
        <f t="shared" si="1"/>
        <v>0</v>
      </c>
      <c r="K43" s="407"/>
      <c r="L43" s="378">
        <f t="shared" si="2"/>
        <v>1</v>
      </c>
      <c r="N43" s="123">
        <v>129.36000000000001</v>
      </c>
      <c r="P43" s="136">
        <v>123.01224489795919</v>
      </c>
    </row>
    <row r="44" spans="2:16" ht="16.5" thickBot="1">
      <c r="B44" s="845"/>
      <c r="C44" s="846"/>
      <c r="D44" s="373">
        <v>0</v>
      </c>
      <c r="E44" s="455">
        <v>1</v>
      </c>
      <c r="F44" s="842"/>
      <c r="G44" s="842"/>
      <c r="H44" s="842"/>
      <c r="I44" s="842"/>
      <c r="J44" s="452">
        <f t="shared" si="1"/>
        <v>0</v>
      </c>
      <c r="K44" s="408"/>
      <c r="L44" s="374">
        <f t="shared" si="2"/>
        <v>1</v>
      </c>
      <c r="N44" s="123">
        <v>130</v>
      </c>
      <c r="P44" s="139">
        <v>137.4842737094838</v>
      </c>
    </row>
    <row r="45" spans="2:16">
      <c r="B45" s="845"/>
      <c r="C45" s="848"/>
      <c r="D45" s="211">
        <v>0</v>
      </c>
      <c r="E45" s="454">
        <v>1</v>
      </c>
      <c r="F45" s="843"/>
      <c r="G45" s="843"/>
      <c r="H45" s="843"/>
      <c r="I45" s="843"/>
      <c r="J45" s="451">
        <f t="shared" si="1"/>
        <v>0</v>
      </c>
      <c r="K45" s="407"/>
      <c r="L45" s="378">
        <f t="shared" si="2"/>
        <v>1</v>
      </c>
      <c r="N45" s="123">
        <v>129.15</v>
      </c>
    </row>
    <row r="46" spans="2:16">
      <c r="B46" s="845"/>
      <c r="C46" s="846"/>
      <c r="D46" s="373">
        <v>0</v>
      </c>
      <c r="E46" s="455">
        <v>1</v>
      </c>
      <c r="F46" s="842"/>
      <c r="G46" s="842"/>
      <c r="H46" s="842"/>
      <c r="I46" s="842"/>
      <c r="J46" s="452">
        <f t="shared" si="1"/>
        <v>0</v>
      </c>
      <c r="K46" s="408"/>
      <c r="L46" s="374">
        <f t="shared" si="2"/>
        <v>1</v>
      </c>
      <c r="N46" s="143"/>
    </row>
    <row r="47" spans="2:16">
      <c r="B47" s="847"/>
      <c r="C47" s="848"/>
      <c r="D47" s="211">
        <v>0</v>
      </c>
      <c r="E47" s="454">
        <v>1</v>
      </c>
      <c r="F47" s="843"/>
      <c r="G47" s="843"/>
      <c r="H47" s="843"/>
      <c r="I47" s="843"/>
      <c r="J47" s="451">
        <f t="shared" si="1"/>
        <v>0</v>
      </c>
      <c r="K47" s="407"/>
      <c r="L47" s="378">
        <f t="shared" si="2"/>
        <v>1</v>
      </c>
      <c r="N47" s="143"/>
    </row>
    <row r="48" spans="2:16">
      <c r="B48" s="845"/>
      <c r="C48" s="846"/>
      <c r="D48" s="373">
        <v>0</v>
      </c>
      <c r="E48" s="455">
        <v>1</v>
      </c>
      <c r="F48" s="842"/>
      <c r="G48" s="842"/>
      <c r="H48" s="842"/>
      <c r="I48" s="842"/>
      <c r="J48" s="452">
        <f t="shared" si="1"/>
        <v>0</v>
      </c>
      <c r="K48" s="408"/>
      <c r="L48" s="374">
        <f t="shared" si="2"/>
        <v>1</v>
      </c>
      <c r="N48" s="143"/>
    </row>
    <row r="49" spans="2:14">
      <c r="B49" s="847"/>
      <c r="C49" s="848"/>
      <c r="D49" s="211">
        <v>0</v>
      </c>
      <c r="E49" s="454">
        <v>1</v>
      </c>
      <c r="F49" s="843"/>
      <c r="G49" s="843"/>
      <c r="H49" s="843"/>
      <c r="I49" s="843"/>
      <c r="J49" s="451">
        <f t="shared" si="1"/>
        <v>0</v>
      </c>
      <c r="K49" s="407"/>
      <c r="L49" s="378">
        <f t="shared" si="2"/>
        <v>1</v>
      </c>
      <c r="N49" s="143"/>
    </row>
    <row r="50" spans="2:14">
      <c r="B50" s="845"/>
      <c r="C50" s="846"/>
      <c r="D50" s="373">
        <v>0</v>
      </c>
      <c r="E50" s="455">
        <v>1</v>
      </c>
      <c r="F50" s="842"/>
      <c r="G50" s="842"/>
      <c r="H50" s="842"/>
      <c r="I50" s="842"/>
      <c r="J50" s="452">
        <f t="shared" si="1"/>
        <v>0</v>
      </c>
      <c r="K50" s="408"/>
      <c r="L50" s="374">
        <f t="shared" si="2"/>
        <v>1</v>
      </c>
      <c r="N50" s="143"/>
    </row>
    <row r="51" spans="2:14">
      <c r="B51" s="847"/>
      <c r="C51" s="848"/>
      <c r="D51" s="211">
        <v>0</v>
      </c>
      <c r="E51" s="454">
        <v>1</v>
      </c>
      <c r="F51" s="843"/>
      <c r="G51" s="843"/>
      <c r="H51" s="843"/>
      <c r="I51" s="843"/>
      <c r="J51" s="451">
        <f t="shared" si="1"/>
        <v>0</v>
      </c>
      <c r="K51" s="407"/>
      <c r="L51" s="378">
        <f t="shared" si="2"/>
        <v>1</v>
      </c>
      <c r="N51" s="143"/>
    </row>
    <row r="52" spans="2:14">
      <c r="B52" s="845"/>
      <c r="C52" s="846"/>
      <c r="D52" s="373">
        <v>0</v>
      </c>
      <c r="E52" s="455">
        <v>1</v>
      </c>
      <c r="F52" s="842"/>
      <c r="G52" s="842"/>
      <c r="H52" s="842"/>
      <c r="I52" s="842"/>
      <c r="J52" s="452">
        <f t="shared" si="1"/>
        <v>0</v>
      </c>
      <c r="K52" s="408"/>
      <c r="L52" s="374">
        <f t="shared" si="2"/>
        <v>1</v>
      </c>
      <c r="N52" s="143"/>
    </row>
    <row r="53" spans="2:14">
      <c r="B53" s="847"/>
      <c r="C53" s="848"/>
      <c r="D53" s="211">
        <v>0</v>
      </c>
      <c r="E53" s="454">
        <v>1</v>
      </c>
      <c r="F53" s="843"/>
      <c r="G53" s="843"/>
      <c r="H53" s="843"/>
      <c r="I53" s="843"/>
      <c r="J53" s="451">
        <f t="shared" si="1"/>
        <v>0</v>
      </c>
      <c r="K53" s="407"/>
      <c r="L53" s="378">
        <f t="shared" si="2"/>
        <v>1</v>
      </c>
      <c r="N53" s="143"/>
    </row>
    <row r="54" spans="2:14">
      <c r="B54" s="845"/>
      <c r="C54" s="846"/>
      <c r="D54" s="373">
        <v>0</v>
      </c>
      <c r="E54" s="455">
        <v>1</v>
      </c>
      <c r="F54" s="842"/>
      <c r="G54" s="842"/>
      <c r="H54" s="842"/>
      <c r="I54" s="842"/>
      <c r="J54" s="452">
        <f t="shared" si="1"/>
        <v>0</v>
      </c>
      <c r="K54" s="408"/>
      <c r="L54" s="374">
        <f t="shared" si="2"/>
        <v>1</v>
      </c>
      <c r="N54" s="143"/>
    </row>
    <row r="55" spans="2:14">
      <c r="B55" s="847"/>
      <c r="C55" s="848"/>
      <c r="D55" s="211">
        <v>0</v>
      </c>
      <c r="E55" s="454">
        <f t="shared" ref="E55:E57" si="3">+J55</f>
        <v>0</v>
      </c>
      <c r="F55" s="843"/>
      <c r="G55" s="843"/>
      <c r="H55" s="843"/>
      <c r="I55" s="843"/>
      <c r="J55" s="451">
        <f t="shared" ref="J55:J57" si="4">+F55/F$9*F$8+G55/G$9*G$8+H55/H$9*H$8+I55/I$9*I$8</f>
        <v>0</v>
      </c>
      <c r="K55" s="407"/>
      <c r="L55" s="378">
        <f t="shared" ref="L55:L57" si="5">+IF(J55&lt;0.9999,1,J55+E55/E$23*E$8)</f>
        <v>1</v>
      </c>
      <c r="N55" s="143"/>
    </row>
    <row r="56" spans="2:14">
      <c r="B56" s="845"/>
      <c r="C56" s="846"/>
      <c r="D56" s="373">
        <v>0</v>
      </c>
      <c r="E56" s="455">
        <f t="shared" si="3"/>
        <v>0</v>
      </c>
      <c r="F56" s="842"/>
      <c r="G56" s="842"/>
      <c r="H56" s="842"/>
      <c r="I56" s="842"/>
      <c r="J56" s="452">
        <f t="shared" si="4"/>
        <v>0</v>
      </c>
      <c r="K56" s="408"/>
      <c r="L56" s="374">
        <f t="shared" si="5"/>
        <v>1</v>
      </c>
      <c r="N56" s="143"/>
    </row>
    <row r="57" spans="2:14" ht="15.75" thickBot="1">
      <c r="B57" s="849"/>
      <c r="C57" s="850"/>
      <c r="D57" s="212">
        <v>0</v>
      </c>
      <c r="E57" s="456">
        <f t="shared" si="3"/>
        <v>0</v>
      </c>
      <c r="F57" s="844"/>
      <c r="G57" s="844"/>
      <c r="H57" s="844"/>
      <c r="I57" s="844"/>
      <c r="J57" s="453">
        <f t="shared" si="4"/>
        <v>0</v>
      </c>
      <c r="K57" s="410"/>
      <c r="L57" s="379">
        <f t="shared" si="5"/>
        <v>1</v>
      </c>
      <c r="N57" s="143"/>
    </row>
    <row r="58" spans="2:14">
      <c r="B58" s="210"/>
      <c r="C58" s="95"/>
      <c r="D58" s="95"/>
      <c r="E58" s="95"/>
      <c r="F58" s="96"/>
      <c r="G58" s="96"/>
      <c r="H58" s="96"/>
      <c r="I58" s="134"/>
      <c r="J58" s="134"/>
      <c r="K58" s="134"/>
      <c r="L58" s="135"/>
      <c r="N58" s="143"/>
    </row>
    <row r="60" spans="2:14">
      <c r="B60" s="955" t="s">
        <v>120</v>
      </c>
      <c r="C60" s="851"/>
      <c r="D60" s="201"/>
      <c r="E60" s="201"/>
    </row>
    <row r="61" spans="2:14">
      <c r="B61" s="126" t="s">
        <v>463</v>
      </c>
      <c r="C61" s="126"/>
      <c r="D61" s="126"/>
      <c r="E61" s="126"/>
      <c r="F61" s="127"/>
      <c r="G61" s="127"/>
      <c r="H61" s="127"/>
      <c r="I61" s="127"/>
    </row>
  </sheetData>
  <sheetProtection algorithmName="SHA-512" hashValue="v3dnNR84KAw3QwTqIzBIl9Xu6BjOoQvK33r1WtD2yCMzu8ItLTVoYyhhkcaR8A/aGWwR331Sg+S5yCZRa2g3Jg==" saltValue="NjlXI4oeLUeyzQLZlTXvUA==" spinCount="100000" sheet="1" formatCells="0" formatColumns="0" formatRows="0" insertColumns="0" insertRows="0" insertHyperlinks="0" deleteColumns="0" deleteRows="0" sort="0" autoFilter="0" pivotTables="0"/>
  <mergeCells count="4">
    <mergeCell ref="C2:L3"/>
    <mergeCell ref="B60:C60"/>
    <mergeCell ref="B5:L5"/>
    <mergeCell ref="B8:C8"/>
  </mergeCells>
  <pageMargins left="0.7" right="0.7" top="0.75" bottom="0.75" header="0.3" footer="0.3"/>
  <pageSetup paperSize="9" scale="54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C1:R165"/>
  <sheetViews>
    <sheetView workbookViewId="0">
      <selection activeCell="O14" sqref="O14"/>
    </sheetView>
  </sheetViews>
  <sheetFormatPr defaultColWidth="9.140625" defaultRowHeight="15.75"/>
  <cols>
    <col min="1" max="2" width="9.140625" style="107"/>
    <col min="3" max="3" width="10" style="107" customWidth="1"/>
    <col min="4" max="4" width="10.140625" style="112" customWidth="1"/>
    <col min="5" max="5" width="14.42578125" style="108" customWidth="1"/>
    <col min="6" max="7" width="14.7109375" style="109" hidden="1" customWidth="1"/>
    <col min="8" max="8" width="15.7109375" style="109" hidden="1" customWidth="1"/>
    <col min="9" max="9" width="16.85546875" style="109" hidden="1" customWidth="1"/>
    <col min="10" max="10" width="15.42578125" style="109" customWidth="1"/>
    <col min="11" max="11" width="15.5703125" style="109" customWidth="1"/>
    <col min="12" max="12" width="4.7109375" style="109" hidden="1" customWidth="1"/>
    <col min="13" max="13" width="14.7109375" style="107" hidden="1" customWidth="1"/>
    <col min="14" max="14" width="15.7109375" style="107" hidden="1" customWidth="1"/>
    <col min="15" max="15" width="22.42578125" style="107" customWidth="1"/>
    <col min="16" max="16" width="11.42578125" style="112" hidden="1" customWidth="1"/>
    <col min="17" max="17" width="13" style="112" hidden="1" customWidth="1"/>
    <col min="18" max="18" width="11.42578125" style="107" bestFit="1" customWidth="1"/>
    <col min="19" max="16384" width="9.140625" style="107"/>
  </cols>
  <sheetData>
    <row r="1" spans="3:14" ht="38.1" customHeight="1">
      <c r="C1" s="311"/>
      <c r="D1" s="311"/>
      <c r="E1" s="311"/>
      <c r="F1" s="311"/>
      <c r="G1" s="311"/>
      <c r="H1" s="311"/>
      <c r="I1" s="311"/>
      <c r="J1" s="311"/>
      <c r="K1" s="380" t="s">
        <v>377</v>
      </c>
    </row>
    <row r="2" spans="3:14" ht="29.25" customHeight="1">
      <c r="C2" s="529" t="s">
        <v>51</v>
      </c>
      <c r="D2" s="967">
        <f>+'TABELA ULAZNIH PODATAKA'!B2</f>
        <v>0</v>
      </c>
      <c r="E2" s="968"/>
      <c r="F2" s="968"/>
      <c r="G2" s="968"/>
      <c r="H2" s="968"/>
      <c r="I2" s="968"/>
      <c r="J2" s="968"/>
      <c r="K2" s="968"/>
      <c r="L2"/>
    </row>
    <row r="3" spans="3:14">
      <c r="C3" s="269"/>
      <c r="D3" s="269"/>
      <c r="E3" s="269"/>
      <c r="F3" s="269"/>
      <c r="G3" s="269"/>
      <c r="H3" s="269"/>
      <c r="I3" s="269"/>
      <c r="J3" s="269"/>
      <c r="K3" s="269"/>
    </row>
    <row r="4" spans="3:14" ht="17.649999999999999" customHeight="1">
      <c r="C4" s="965" t="s">
        <v>72</v>
      </c>
      <c r="D4" s="965"/>
      <c r="E4" s="965"/>
      <c r="F4" s="965"/>
      <c r="G4" s="965"/>
      <c r="H4" s="965"/>
      <c r="I4" s="965"/>
      <c r="J4" s="965"/>
      <c r="K4" s="965"/>
    </row>
    <row r="5" spans="3:14" ht="16.5" thickBot="1">
      <c r="C5" s="966"/>
      <c r="D5" s="966"/>
      <c r="E5" s="966"/>
      <c r="F5" s="966"/>
      <c r="G5" s="966"/>
      <c r="H5" s="966"/>
      <c r="I5" s="966"/>
      <c r="J5" s="966"/>
      <c r="K5" s="966"/>
    </row>
    <row r="6" spans="3:14" ht="86.25" customHeight="1" thickTop="1" thickBot="1">
      <c r="C6" s="961" t="s">
        <v>408</v>
      </c>
      <c r="D6" s="962"/>
      <c r="E6" s="381" t="s">
        <v>427</v>
      </c>
      <c r="F6" s="381" t="s">
        <v>346</v>
      </c>
      <c r="G6" s="381" t="s">
        <v>75</v>
      </c>
      <c r="H6" s="381" t="s">
        <v>76</v>
      </c>
      <c r="I6" s="381" t="s">
        <v>77</v>
      </c>
      <c r="J6" s="381" t="s">
        <v>346</v>
      </c>
      <c r="K6" s="381" t="s">
        <v>555</v>
      </c>
      <c r="L6" s="381" t="s">
        <v>409</v>
      </c>
      <c r="M6" s="100"/>
    </row>
    <row r="7" spans="3:14" ht="17.25" customHeight="1" thickBot="1">
      <c r="C7" s="963">
        <v>1</v>
      </c>
      <c r="D7" s="964"/>
      <c r="E7" s="375">
        <v>2</v>
      </c>
      <c r="F7" s="375"/>
      <c r="G7" s="375"/>
      <c r="H7" s="375"/>
      <c r="I7" s="375"/>
      <c r="J7" s="375">
        <v>3</v>
      </c>
      <c r="K7" s="375"/>
      <c r="L7" s="100"/>
    </row>
    <row r="8" spans="3:14" ht="17.25" customHeight="1">
      <c r="C8" s="387" t="s">
        <v>80</v>
      </c>
      <c r="D8" s="390"/>
      <c r="E8" s="389"/>
      <c r="F8" s="384"/>
      <c r="G8" s="384"/>
      <c r="H8" s="384"/>
      <c r="I8" s="392"/>
      <c r="J8" s="397"/>
      <c r="K8" s="394"/>
      <c r="N8" s="186" t="s">
        <v>364</v>
      </c>
    </row>
    <row r="9" spans="3:14" ht="17.25" customHeight="1">
      <c r="C9" s="519">
        <f>+'Izračun koefic.-klizna skala'!B9</f>
        <v>0</v>
      </c>
      <c r="D9" s="530">
        <f>+'Izračun koefic.-klizna skala'!C9</f>
        <v>0</v>
      </c>
      <c r="E9" s="521"/>
      <c r="F9" s="522"/>
      <c r="G9" s="522"/>
      <c r="H9" s="522"/>
      <c r="I9" s="522"/>
      <c r="J9" s="524">
        <f>+'Izračun koefic.-klizna skala'!L9</f>
        <v>1</v>
      </c>
      <c r="K9" s="523">
        <f t="shared" ref="K9:K22" si="0">+E9*(J9-1)</f>
        <v>0</v>
      </c>
      <c r="N9" s="186"/>
    </row>
    <row r="10" spans="3:14" ht="17.25" customHeight="1">
      <c r="C10" s="514">
        <f>+'Izračun koefic.-klizna skala'!B10</f>
        <v>0</v>
      </c>
      <c r="D10" s="518">
        <f>+'Izračun koefic.-klizna skala'!C10</f>
        <v>0</v>
      </c>
      <c r="E10" s="515"/>
      <c r="F10" s="516"/>
      <c r="G10" s="516"/>
      <c r="H10" s="516"/>
      <c r="I10" s="516"/>
      <c r="J10" s="525">
        <f>+'Izračun koefic.-klizna skala'!L10</f>
        <v>1</v>
      </c>
      <c r="K10" s="517">
        <f t="shared" si="0"/>
        <v>0</v>
      </c>
      <c r="N10" s="186"/>
    </row>
    <row r="11" spans="3:14" ht="17.25" customHeight="1">
      <c r="C11" s="519">
        <f>+'Izračun koefic.-klizna skala'!B11</f>
        <v>0</v>
      </c>
      <c r="D11" s="520">
        <f>+'Izračun koefic.-klizna skala'!C11</f>
        <v>0</v>
      </c>
      <c r="E11" s="521"/>
      <c r="F11" s="522"/>
      <c r="G11" s="522"/>
      <c r="H11" s="522"/>
      <c r="I11" s="522"/>
      <c r="J11" s="524">
        <f>+'Izračun koefic.-klizna skala'!L11</f>
        <v>1</v>
      </c>
      <c r="K11" s="523">
        <f t="shared" si="0"/>
        <v>0</v>
      </c>
      <c r="N11" s="186"/>
    </row>
    <row r="12" spans="3:14" ht="17.25" customHeight="1">
      <c r="C12" s="514">
        <f>+'Izračun koefic.-klizna skala'!B12</f>
        <v>0</v>
      </c>
      <c r="D12" s="518">
        <f>+'Izračun koefic.-klizna skala'!C12</f>
        <v>0</v>
      </c>
      <c r="E12" s="515"/>
      <c r="F12" s="516"/>
      <c r="G12" s="516"/>
      <c r="H12" s="516"/>
      <c r="I12" s="516"/>
      <c r="J12" s="525">
        <f>+'Izračun koefic.-klizna skala'!L12</f>
        <v>1</v>
      </c>
      <c r="K12" s="517">
        <f t="shared" si="0"/>
        <v>0</v>
      </c>
      <c r="N12" s="186"/>
    </row>
    <row r="13" spans="3:14" ht="17.25" customHeight="1">
      <c r="C13" s="519">
        <f>+'Izračun koefic.-klizna skala'!B13</f>
        <v>0</v>
      </c>
      <c r="D13" s="520">
        <f>+'Izračun koefic.-klizna skala'!C13</f>
        <v>0</v>
      </c>
      <c r="E13" s="521"/>
      <c r="F13" s="522"/>
      <c r="G13" s="522"/>
      <c r="H13" s="522"/>
      <c r="I13" s="522"/>
      <c r="J13" s="524">
        <f>+'Izračun koefic.-klizna skala'!L13</f>
        <v>1</v>
      </c>
      <c r="K13" s="523">
        <f t="shared" si="0"/>
        <v>0</v>
      </c>
      <c r="N13" s="186"/>
    </row>
    <row r="14" spans="3:14" ht="17.25" customHeight="1">
      <c r="C14" s="514">
        <f>+'Izračun koefic.-klizna skala'!B14</f>
        <v>0</v>
      </c>
      <c r="D14" s="518">
        <f>+'Izračun koefic.-klizna skala'!C14</f>
        <v>0</v>
      </c>
      <c r="E14" s="515"/>
      <c r="F14" s="516"/>
      <c r="G14" s="516"/>
      <c r="H14" s="516"/>
      <c r="I14" s="516"/>
      <c r="J14" s="525">
        <f>+'Izračun koefic.-klizna skala'!L14</f>
        <v>1</v>
      </c>
      <c r="K14" s="517">
        <f t="shared" si="0"/>
        <v>0</v>
      </c>
      <c r="N14" s="186"/>
    </row>
    <row r="15" spans="3:14" ht="17.25" customHeight="1">
      <c r="C15" s="519">
        <f>+'Izračun koefic.-klizna skala'!B15</f>
        <v>0</v>
      </c>
      <c r="D15" s="520">
        <f>+'Izračun koefic.-klizna skala'!C15</f>
        <v>0</v>
      </c>
      <c r="E15" s="521"/>
      <c r="F15" s="522"/>
      <c r="G15" s="522"/>
      <c r="H15" s="522"/>
      <c r="I15" s="522"/>
      <c r="J15" s="524">
        <f>+'Izračun koefic.-klizna skala'!L15</f>
        <v>1</v>
      </c>
      <c r="K15" s="523">
        <f t="shared" si="0"/>
        <v>0</v>
      </c>
      <c r="N15" s="186"/>
    </row>
    <row r="16" spans="3:14" ht="17.25" customHeight="1">
      <c r="C16" s="514">
        <f>+'Izračun koefic.-klizna skala'!B16</f>
        <v>0</v>
      </c>
      <c r="D16" s="518">
        <f>+'Izračun koefic.-klizna skala'!C16</f>
        <v>0</v>
      </c>
      <c r="E16" s="515"/>
      <c r="F16" s="516"/>
      <c r="G16" s="516"/>
      <c r="H16" s="516"/>
      <c r="I16" s="516"/>
      <c r="J16" s="525">
        <f>+'Izračun koefic.-klizna skala'!L16</f>
        <v>1</v>
      </c>
      <c r="K16" s="517">
        <f t="shared" si="0"/>
        <v>0</v>
      </c>
      <c r="N16" s="186"/>
    </row>
    <row r="17" spans="3:17" ht="17.25" customHeight="1">
      <c r="C17" s="519">
        <f>+'Izračun koefic.-klizna skala'!B17</f>
        <v>0</v>
      </c>
      <c r="D17" s="520">
        <f>+'Izračun koefic.-klizna skala'!C17</f>
        <v>0</v>
      </c>
      <c r="E17" s="521"/>
      <c r="F17" s="522"/>
      <c r="G17" s="522"/>
      <c r="H17" s="522"/>
      <c r="I17" s="522"/>
      <c r="J17" s="524">
        <f>+'Izračun koefic.-klizna skala'!L17</f>
        <v>1</v>
      </c>
      <c r="K17" s="523">
        <f t="shared" si="0"/>
        <v>0</v>
      </c>
      <c r="N17" s="186"/>
    </row>
    <row r="18" spans="3:17" ht="17.25" customHeight="1">
      <c r="C18" s="514">
        <f>+'Izračun koefic.-klizna skala'!B18</f>
        <v>0</v>
      </c>
      <c r="D18" s="518">
        <f>+'Izračun koefic.-klizna skala'!C18</f>
        <v>0</v>
      </c>
      <c r="E18" s="515"/>
      <c r="F18" s="516"/>
      <c r="G18" s="516"/>
      <c r="H18" s="516"/>
      <c r="I18" s="516"/>
      <c r="J18" s="525">
        <f>+'Izračun koefic.-klizna skala'!L18</f>
        <v>1</v>
      </c>
      <c r="K18" s="517">
        <f t="shared" si="0"/>
        <v>0</v>
      </c>
      <c r="N18" s="186"/>
    </row>
    <row r="19" spans="3:17" ht="17.25" customHeight="1">
      <c r="C19" s="519">
        <f>+'Izračun koefic.-klizna skala'!B19</f>
        <v>0</v>
      </c>
      <c r="D19" s="520">
        <f>+'Izračun koefic.-klizna skala'!C19</f>
        <v>0</v>
      </c>
      <c r="E19" s="521"/>
      <c r="F19" s="522"/>
      <c r="G19" s="522"/>
      <c r="H19" s="522"/>
      <c r="I19" s="522"/>
      <c r="J19" s="524">
        <f>+'Izračun koefic.-klizna skala'!L19</f>
        <v>1</v>
      </c>
      <c r="K19" s="523">
        <f t="shared" si="0"/>
        <v>0</v>
      </c>
      <c r="N19" s="186"/>
    </row>
    <row r="20" spans="3:17" ht="17.25" customHeight="1">
      <c r="C20" s="514">
        <f>+'Izračun koefic.-klizna skala'!B20</f>
        <v>0</v>
      </c>
      <c r="D20" s="518">
        <f>+'Izračun koefic.-klizna skala'!C20</f>
        <v>0</v>
      </c>
      <c r="E20" s="515"/>
      <c r="F20" s="516"/>
      <c r="G20" s="516"/>
      <c r="H20" s="516"/>
      <c r="I20" s="516"/>
      <c r="J20" s="525">
        <f>+'Izračun koefic.-klizna skala'!L20</f>
        <v>1</v>
      </c>
      <c r="K20" s="517">
        <f t="shared" si="0"/>
        <v>0</v>
      </c>
      <c r="N20" s="186"/>
    </row>
    <row r="21" spans="3:17" ht="17.25" customHeight="1">
      <c r="C21" s="519">
        <f>+'Izračun koefic.-klizna skala'!B21</f>
        <v>0</v>
      </c>
      <c r="D21" s="520">
        <f>+'Izračun koefic.-klizna skala'!C21</f>
        <v>0</v>
      </c>
      <c r="E21" s="521"/>
      <c r="F21" s="522"/>
      <c r="G21" s="522"/>
      <c r="H21" s="522"/>
      <c r="I21" s="522"/>
      <c r="J21" s="524">
        <f>+'Izračun koefic.-klizna skala'!L21</f>
        <v>1</v>
      </c>
      <c r="K21" s="523">
        <f t="shared" si="0"/>
        <v>0</v>
      </c>
      <c r="N21" s="186"/>
    </row>
    <row r="22" spans="3:17" ht="17.25" customHeight="1">
      <c r="C22" s="514">
        <f>+'Izračun koefic.-klizna skala'!B22</f>
        <v>0</v>
      </c>
      <c r="D22" s="518">
        <f>+'Izračun koefic.-klizna skala'!C22</f>
        <v>0</v>
      </c>
      <c r="E22" s="515"/>
      <c r="F22" s="516"/>
      <c r="G22" s="516"/>
      <c r="H22" s="516"/>
      <c r="I22" s="516"/>
      <c r="J22" s="525">
        <f>+'Izračun koefic.-klizna skala'!L22</f>
        <v>1</v>
      </c>
      <c r="K22" s="517">
        <f t="shared" si="0"/>
        <v>0</v>
      </c>
      <c r="N22" s="186"/>
    </row>
    <row r="23" spans="3:17" s="186" customFormat="1">
      <c r="C23" s="457">
        <f>+'Izračun koefic.-klizna skala'!B23</f>
        <v>0</v>
      </c>
      <c r="D23" s="495">
        <f>+'Izračun koefic.-klizna skala'!C23</f>
        <v>0</v>
      </c>
      <c r="E23" s="496"/>
      <c r="F23" s="497"/>
      <c r="G23" s="497"/>
      <c r="H23" s="497"/>
      <c r="I23" s="497"/>
      <c r="J23" s="498">
        <f>+'Izračun koefic.-klizna skala'!L23</f>
        <v>1</v>
      </c>
      <c r="K23" s="499">
        <f>+E23*(J23-1)</f>
        <v>0</v>
      </c>
      <c r="L23" s="103"/>
      <c r="P23" s="109">
        <v>8062.91</v>
      </c>
      <c r="Q23" s="109">
        <f>P23*7.5345</f>
        <v>60749.995395000005</v>
      </c>
    </row>
    <row r="24" spans="3:17">
      <c r="C24" s="458">
        <f>+'Izračun koefic.-klizna skala'!B24</f>
        <v>0</v>
      </c>
      <c r="D24" s="460">
        <f>+'Izračun koefic.-klizna skala'!C24</f>
        <v>0</v>
      </c>
      <c r="E24" s="385"/>
      <c r="F24" s="383"/>
      <c r="G24" s="383"/>
      <c r="H24" s="383"/>
      <c r="I24" s="393"/>
      <c r="J24" s="467">
        <f>+'Izračun koefic.-klizna skala'!L24</f>
        <v>1</v>
      </c>
      <c r="K24" s="395">
        <f t="shared" ref="K24:K57" si="1">+E24*(J24-1)</f>
        <v>0</v>
      </c>
      <c r="L24" s="104"/>
      <c r="P24" s="112">
        <v>10750.56</v>
      </c>
      <c r="Q24" s="112">
        <f t="shared" ref="Q24:Q45" si="2">P24*7.5345</f>
        <v>81000.094320000004</v>
      </c>
    </row>
    <row r="25" spans="3:17">
      <c r="C25" s="459">
        <f>+'Izračun koefic.-klizna skala'!B25</f>
        <v>0</v>
      </c>
      <c r="D25" s="459">
        <f>+'Izračun koefic.-klizna skala'!C25</f>
        <v>0</v>
      </c>
      <c r="E25" s="463"/>
      <c r="F25" s="382"/>
      <c r="G25" s="382"/>
      <c r="H25" s="382"/>
      <c r="I25" s="382"/>
      <c r="J25" s="468">
        <f>+'Izračun koefic.-klizna skala'!L25</f>
        <v>1</v>
      </c>
      <c r="K25" s="465">
        <f t="shared" si="1"/>
        <v>0</v>
      </c>
      <c r="L25" s="103"/>
      <c r="P25" s="112">
        <v>10750.54</v>
      </c>
      <c r="Q25" s="112">
        <f t="shared" si="2"/>
        <v>80999.943630000009</v>
      </c>
    </row>
    <row r="26" spans="3:17">
      <c r="C26" s="458">
        <f>+'Izračun koefic.-klizna skala'!B26</f>
        <v>0</v>
      </c>
      <c r="D26" s="460">
        <f>+'Izračun koefic.-klizna skala'!C26</f>
        <v>0</v>
      </c>
      <c r="E26" s="385"/>
      <c r="F26" s="383"/>
      <c r="G26" s="383"/>
      <c r="H26" s="383"/>
      <c r="I26" s="393"/>
      <c r="J26" s="467">
        <f>+'Izračun koefic.-klizna skala'!L26</f>
        <v>1</v>
      </c>
      <c r="K26" s="395">
        <f t="shared" si="1"/>
        <v>0</v>
      </c>
      <c r="L26" s="104"/>
      <c r="P26" s="112">
        <v>10750.55</v>
      </c>
      <c r="Q26" s="112">
        <f t="shared" si="2"/>
        <v>81000.018974999999</v>
      </c>
    </row>
    <row r="27" spans="3:17">
      <c r="C27" s="459">
        <f>+'Izračun koefic.-klizna skala'!B27</f>
        <v>0</v>
      </c>
      <c r="D27" s="459">
        <f>+'Izračun koefic.-klizna skala'!C27</f>
        <v>0</v>
      </c>
      <c r="E27" s="463"/>
      <c r="F27" s="382"/>
      <c r="G27" s="382"/>
      <c r="H27" s="382"/>
      <c r="I27" s="382"/>
      <c r="J27" s="468">
        <f>+'Izračun koefic.-klizna skala'!L27</f>
        <v>1</v>
      </c>
      <c r="K27" s="465">
        <f t="shared" si="1"/>
        <v>0</v>
      </c>
      <c r="L27" s="103"/>
      <c r="M27" s="107">
        <v>158670</v>
      </c>
      <c r="N27" s="112">
        <f>(M27-D27)/7.5345</f>
        <v>21059.128011148714</v>
      </c>
      <c r="P27" s="112">
        <v>10750.55</v>
      </c>
      <c r="Q27" s="112">
        <f t="shared" si="2"/>
        <v>81000.018974999999</v>
      </c>
    </row>
    <row r="28" spans="3:17">
      <c r="C28" s="458">
        <f>+'Izračun koefic.-klizna skala'!B28</f>
        <v>0</v>
      </c>
      <c r="D28" s="460">
        <f>+'Izračun koefic.-klizna skala'!C28</f>
        <v>0</v>
      </c>
      <c r="E28" s="385"/>
      <c r="F28" s="383"/>
      <c r="G28" s="383"/>
      <c r="H28" s="383"/>
      <c r="I28" s="393"/>
      <c r="J28" s="467">
        <f>+'Izračun koefic.-klizna skala'!L28</f>
        <v>1</v>
      </c>
      <c r="K28" s="395">
        <f t="shared" si="1"/>
        <v>0</v>
      </c>
      <c r="L28" s="104"/>
      <c r="P28" s="112">
        <v>10750.54</v>
      </c>
      <c r="Q28" s="112">
        <f t="shared" si="2"/>
        <v>80999.943630000009</v>
      </c>
    </row>
    <row r="29" spans="3:17">
      <c r="C29" s="459">
        <f>+'Izračun koefic.-klizna skala'!B29</f>
        <v>0</v>
      </c>
      <c r="D29" s="459">
        <f>+'Izračun koefic.-klizna skala'!C29</f>
        <v>0</v>
      </c>
      <c r="E29" s="463"/>
      <c r="F29" s="382"/>
      <c r="G29" s="382"/>
      <c r="H29" s="382"/>
      <c r="I29" s="382"/>
      <c r="J29" s="468">
        <f>+'Izračun koefic.-klizna skala'!L29</f>
        <v>1</v>
      </c>
      <c r="K29" s="465">
        <f t="shared" si="1"/>
        <v>0</v>
      </c>
      <c r="L29" s="103"/>
      <c r="P29" s="112">
        <v>10750.56</v>
      </c>
      <c r="Q29" s="112">
        <f t="shared" si="2"/>
        <v>81000.094320000004</v>
      </c>
    </row>
    <row r="30" spans="3:17">
      <c r="C30" s="458">
        <f>+'Izračun koefic.-klizna skala'!B30</f>
        <v>0</v>
      </c>
      <c r="D30" s="460">
        <f>+'Izračun koefic.-klizna skala'!C30</f>
        <v>0</v>
      </c>
      <c r="E30" s="385"/>
      <c r="F30" s="383"/>
      <c r="G30" s="383"/>
      <c r="H30" s="383"/>
      <c r="I30" s="393"/>
      <c r="J30" s="467">
        <f>+'Izračun koefic.-klizna skala'!L30</f>
        <v>1</v>
      </c>
      <c r="K30" s="395">
        <f t="shared" si="1"/>
        <v>0</v>
      </c>
      <c r="L30" s="104"/>
      <c r="P30" s="112">
        <v>7525.38</v>
      </c>
      <c r="Q30" s="112">
        <f t="shared" si="2"/>
        <v>56699.975610000001</v>
      </c>
    </row>
    <row r="31" spans="3:17">
      <c r="C31" s="459">
        <f>+'Izračun koefic.-klizna skala'!B31</f>
        <v>0</v>
      </c>
      <c r="D31" s="459">
        <f>+'Izračun koefic.-klizna skala'!C31</f>
        <v>0</v>
      </c>
      <c r="E31" s="463"/>
      <c r="F31" s="382"/>
      <c r="G31" s="382"/>
      <c r="H31" s="382"/>
      <c r="I31" s="382"/>
      <c r="J31" s="468">
        <f>+'Izračun koefic.-klizna skala'!L31</f>
        <v>1</v>
      </c>
      <c r="K31" s="465">
        <f t="shared" si="1"/>
        <v>0</v>
      </c>
      <c r="L31" s="103"/>
      <c r="P31" s="112">
        <v>0</v>
      </c>
      <c r="Q31" s="112">
        <f t="shared" si="2"/>
        <v>0</v>
      </c>
    </row>
    <row r="32" spans="3:17">
      <c r="C32" s="458">
        <f>+'Izračun koefic.-klizna skala'!B32</f>
        <v>0</v>
      </c>
      <c r="D32" s="460">
        <f>+'Izračun koefic.-klizna skala'!C32</f>
        <v>0</v>
      </c>
      <c r="E32" s="385"/>
      <c r="F32" s="383"/>
      <c r="G32" s="383"/>
      <c r="H32" s="383"/>
      <c r="I32" s="393"/>
      <c r="J32" s="467">
        <f>+'Izračun koefic.-klizna skala'!L32</f>
        <v>1</v>
      </c>
      <c r="K32" s="395">
        <f t="shared" si="1"/>
        <v>0</v>
      </c>
      <c r="L32" s="104"/>
      <c r="P32" s="112">
        <v>0</v>
      </c>
      <c r="Q32" s="112">
        <f t="shared" si="2"/>
        <v>0</v>
      </c>
    </row>
    <row r="33" spans="3:18">
      <c r="C33" s="459">
        <f>+'Izračun koefic.-klizna skala'!B33</f>
        <v>0</v>
      </c>
      <c r="D33" s="459">
        <f>+'Izračun koefic.-klizna skala'!C33</f>
        <v>0</v>
      </c>
      <c r="E33" s="463"/>
      <c r="F33" s="382"/>
      <c r="G33" s="382"/>
      <c r="H33" s="382"/>
      <c r="I33" s="382"/>
      <c r="J33" s="468">
        <f>+'Izračun koefic.-klizna skala'!L33</f>
        <v>1</v>
      </c>
      <c r="K33" s="465">
        <f t="shared" si="1"/>
        <v>0</v>
      </c>
      <c r="L33" s="103"/>
      <c r="P33" s="112">
        <v>0</v>
      </c>
      <c r="Q33" s="112">
        <f t="shared" si="2"/>
        <v>0</v>
      </c>
    </row>
    <row r="34" spans="3:18">
      <c r="C34" s="458">
        <f>+'Izračun koefic.-klizna skala'!B34</f>
        <v>0</v>
      </c>
      <c r="D34" s="460">
        <f>+'Izračun koefic.-klizna skala'!C34</f>
        <v>0</v>
      </c>
      <c r="E34" s="385"/>
      <c r="F34" s="383"/>
      <c r="G34" s="383"/>
      <c r="H34" s="383"/>
      <c r="I34" s="393"/>
      <c r="J34" s="467">
        <f>+'Izračun koefic.-klizna skala'!L34</f>
        <v>1</v>
      </c>
      <c r="K34" s="395">
        <f t="shared" si="1"/>
        <v>0</v>
      </c>
      <c r="L34" s="104"/>
      <c r="P34" s="112">
        <v>0</v>
      </c>
      <c r="Q34" s="112">
        <f t="shared" si="2"/>
        <v>0</v>
      </c>
    </row>
    <row r="35" spans="3:18">
      <c r="C35" s="388">
        <f>+'Izračun koefic.-klizna skala'!B35</f>
        <v>0</v>
      </c>
      <c r="D35" s="391">
        <f>+'Izračun koefic.-klizna skala'!C35</f>
        <v>0</v>
      </c>
      <c r="E35" s="463"/>
      <c r="F35" s="382"/>
      <c r="G35" s="382"/>
      <c r="H35" s="382"/>
      <c r="I35" s="382"/>
      <c r="J35" s="468">
        <f>+'Izračun koefic.-klizna skala'!L35-Rizik!K38</f>
        <v>1</v>
      </c>
      <c r="K35" s="465">
        <f t="shared" si="1"/>
        <v>0</v>
      </c>
      <c r="L35" s="103"/>
      <c r="P35" s="112">
        <v>0</v>
      </c>
      <c r="Q35" s="112">
        <f t="shared" si="2"/>
        <v>0</v>
      </c>
    </row>
    <row r="36" spans="3:18">
      <c r="C36" s="461">
        <f>+'Izračun koefic.-klizna skala'!B36</f>
        <v>0</v>
      </c>
      <c r="D36" s="460">
        <f>+'Izračun koefic.-klizna skala'!C36</f>
        <v>0</v>
      </c>
      <c r="E36" s="385"/>
      <c r="F36" s="383"/>
      <c r="G36" s="383"/>
      <c r="H36" s="383"/>
      <c r="I36" s="393"/>
      <c r="J36" s="467">
        <f>+'Izračun koefic.-klizna skala'!L36-Rizik!K39</f>
        <v>1</v>
      </c>
      <c r="K36" s="395">
        <f t="shared" si="1"/>
        <v>0</v>
      </c>
      <c r="L36" s="104"/>
      <c r="P36" s="112">
        <v>0</v>
      </c>
      <c r="Q36" s="112">
        <f t="shared" si="2"/>
        <v>0</v>
      </c>
    </row>
    <row r="37" spans="3:18">
      <c r="C37" s="462">
        <f>+'Izračun koefic.-klizna skala'!B37</f>
        <v>0</v>
      </c>
      <c r="D37" s="459">
        <f>+'Izračun koefic.-klizna skala'!C37</f>
        <v>0</v>
      </c>
      <c r="E37" s="463"/>
      <c r="F37" s="382"/>
      <c r="G37" s="382"/>
      <c r="H37" s="382"/>
      <c r="I37" s="382"/>
      <c r="J37" s="468">
        <f>+'Izračun koefic.-klizna skala'!L37-Rizik!K40</f>
        <v>1</v>
      </c>
      <c r="K37" s="465">
        <f t="shared" si="1"/>
        <v>0</v>
      </c>
      <c r="L37" s="103"/>
      <c r="M37" s="112">
        <v>8461.07</v>
      </c>
      <c r="P37" s="112">
        <v>0</v>
      </c>
      <c r="Q37" s="112">
        <f t="shared" si="2"/>
        <v>0</v>
      </c>
    </row>
    <row r="38" spans="3:18">
      <c r="C38" s="461">
        <f>+'Izračun koefic.-klizna skala'!B38</f>
        <v>0</v>
      </c>
      <c r="D38" s="460">
        <f>+'Izračun koefic.-klizna skala'!C38</f>
        <v>0</v>
      </c>
      <c r="E38" s="385"/>
      <c r="F38" s="383"/>
      <c r="G38" s="383"/>
      <c r="H38" s="383"/>
      <c r="I38" s="393"/>
      <c r="J38" s="467">
        <f>+'Izračun koefic.-klizna skala'!L38-Rizik!K41</f>
        <v>1</v>
      </c>
      <c r="K38" s="395">
        <f t="shared" si="1"/>
        <v>0</v>
      </c>
      <c r="L38" s="104"/>
      <c r="M38" s="112">
        <v>11281.44</v>
      </c>
      <c r="P38" s="112">
        <v>0</v>
      </c>
      <c r="Q38" s="112">
        <f t="shared" si="2"/>
        <v>0</v>
      </c>
    </row>
    <row r="39" spans="3:18">
      <c r="C39" s="462">
        <f>+'Izračun koefic.-klizna skala'!B39</f>
        <v>0</v>
      </c>
      <c r="D39" s="459">
        <f>+'Izračun koefic.-klizna skala'!C39</f>
        <v>0</v>
      </c>
      <c r="E39" s="463"/>
      <c r="F39" s="382"/>
      <c r="G39" s="382"/>
      <c r="H39" s="382"/>
      <c r="I39" s="382"/>
      <c r="J39" s="468">
        <f>+'Izračun koefic.-klizna skala'!L39-Rizik!K42</f>
        <v>1</v>
      </c>
      <c r="K39" s="465">
        <f t="shared" si="1"/>
        <v>0</v>
      </c>
      <c r="L39" s="103"/>
      <c r="M39" s="112">
        <v>13604.08</v>
      </c>
      <c r="O39" s="500"/>
      <c r="P39" s="112">
        <v>0</v>
      </c>
      <c r="Q39" s="112">
        <f t="shared" si="2"/>
        <v>0</v>
      </c>
    </row>
    <row r="40" spans="3:18">
      <c r="C40" s="461">
        <f>+'Izračun koefic.-klizna skala'!B40</f>
        <v>0</v>
      </c>
      <c r="D40" s="460">
        <f>+'Izračun koefic.-klizna skala'!C40</f>
        <v>0</v>
      </c>
      <c r="E40" s="385"/>
      <c r="F40" s="383"/>
      <c r="G40" s="383"/>
      <c r="H40" s="383"/>
      <c r="I40" s="393"/>
      <c r="J40" s="467">
        <f>+'Izračun koefic.-klizna skala'!L40-Rizik!K43</f>
        <v>1</v>
      </c>
      <c r="K40" s="395">
        <f t="shared" si="1"/>
        <v>0</v>
      </c>
      <c r="L40" s="104"/>
      <c r="M40" s="112">
        <v>13604.08</v>
      </c>
      <c r="P40" s="112">
        <v>0</v>
      </c>
      <c r="Q40" s="112">
        <f t="shared" si="2"/>
        <v>0</v>
      </c>
    </row>
    <row r="41" spans="3:18">
      <c r="C41" s="462">
        <f>+'Izračun koefic.-klizna skala'!B41</f>
        <v>0</v>
      </c>
      <c r="D41" s="459">
        <f>+'Izračun koefic.-klizna skala'!C41</f>
        <v>0</v>
      </c>
      <c r="E41" s="463"/>
      <c r="F41" s="382"/>
      <c r="G41" s="382"/>
      <c r="H41" s="382"/>
      <c r="I41" s="382"/>
      <c r="J41" s="468">
        <f>+'Izračun koefic.-klizna skala'!L41-Rizik!K44</f>
        <v>1</v>
      </c>
      <c r="K41" s="465">
        <f t="shared" si="1"/>
        <v>0</v>
      </c>
      <c r="L41" s="103"/>
      <c r="M41" s="112">
        <v>19047.07</v>
      </c>
      <c r="N41" s="107">
        <v>5442.97</v>
      </c>
      <c r="P41" s="112">
        <v>0</v>
      </c>
      <c r="Q41" s="112">
        <f t="shared" si="2"/>
        <v>0</v>
      </c>
    </row>
    <row r="42" spans="3:18">
      <c r="C42" s="461">
        <f>+'Izračun koefic.-klizna skala'!B42</f>
        <v>0</v>
      </c>
      <c r="D42" s="460">
        <f>+'Izračun koefic.-klizna skala'!C42</f>
        <v>0</v>
      </c>
      <c r="E42" s="385"/>
      <c r="F42" s="383"/>
      <c r="G42" s="383"/>
      <c r="H42" s="383"/>
      <c r="I42" s="393"/>
      <c r="J42" s="467">
        <f>+'Izračun koefic.-klizna skala'!L42-Rizik!K45</f>
        <v>1</v>
      </c>
      <c r="K42" s="395">
        <f t="shared" si="1"/>
        <v>0</v>
      </c>
      <c r="L42" s="104"/>
      <c r="M42" s="112">
        <v>13604.08</v>
      </c>
      <c r="O42" s="526"/>
    </row>
    <row r="43" spans="3:18">
      <c r="C43" s="462">
        <f>+'Izračun koefic.-klizna skala'!B43</f>
        <v>0</v>
      </c>
      <c r="D43" s="459">
        <f>+'Izračun koefic.-klizna skala'!C43</f>
        <v>0</v>
      </c>
      <c r="E43" s="463"/>
      <c r="F43" s="382"/>
      <c r="G43" s="382"/>
      <c r="H43" s="382"/>
      <c r="I43" s="382"/>
      <c r="J43" s="468">
        <f>+'Izračun koefic.-klizna skala'!L43-Rizik!K46</f>
        <v>1</v>
      </c>
      <c r="K43" s="465">
        <f t="shared" si="1"/>
        <v>0</v>
      </c>
      <c r="L43" s="129"/>
      <c r="M43" s="112">
        <v>13604.09</v>
      </c>
      <c r="P43" s="112">
        <v>10219.66</v>
      </c>
      <c r="Q43" s="112">
        <f t="shared" si="2"/>
        <v>77000.02827000001</v>
      </c>
    </row>
    <row r="44" spans="3:18">
      <c r="C44" s="461">
        <f>+'Izračun koefic.-klizna skala'!B44</f>
        <v>0</v>
      </c>
      <c r="D44" s="460">
        <f>+'Izračun koefic.-klizna skala'!C44</f>
        <v>0</v>
      </c>
      <c r="E44" s="385"/>
      <c r="F44" s="383"/>
      <c r="G44" s="383"/>
      <c r="H44" s="383"/>
      <c r="I44" s="393"/>
      <c r="J44" s="467">
        <f>+'Izračun koefic.-klizna skala'!L44-Rizik!K47</f>
        <v>1</v>
      </c>
      <c r="K44" s="395">
        <f t="shared" si="1"/>
        <v>0</v>
      </c>
      <c r="L44" s="104"/>
      <c r="M44" s="112">
        <v>13604.09</v>
      </c>
      <c r="P44" s="112">
        <v>10485.1</v>
      </c>
      <c r="Q44" s="112">
        <f t="shared" si="2"/>
        <v>78999.985950000002</v>
      </c>
    </row>
    <row r="45" spans="3:18">
      <c r="C45" s="462">
        <f>+'Izračun koefic.-klizna skala'!B45</f>
        <v>0</v>
      </c>
      <c r="D45" s="459">
        <f>+'Izračun koefic.-klizna skala'!C45</f>
        <v>0</v>
      </c>
      <c r="E45" s="463"/>
      <c r="F45" s="382"/>
      <c r="G45" s="382"/>
      <c r="H45" s="382"/>
      <c r="I45" s="382"/>
      <c r="J45" s="468">
        <f>+'Izračun koefic.-klizna skala'!L45-Rizik!K48</f>
        <v>1</v>
      </c>
      <c r="K45" s="465">
        <f t="shared" si="1"/>
        <v>0</v>
      </c>
      <c r="L45" s="129"/>
      <c r="M45" s="112">
        <v>13604.09</v>
      </c>
      <c r="O45" s="527"/>
      <c r="P45" s="112">
        <v>10325.84</v>
      </c>
      <c r="Q45" s="112">
        <f t="shared" si="2"/>
        <v>77800.04148</v>
      </c>
      <c r="R45" s="112"/>
    </row>
    <row r="46" spans="3:18" ht="16.5" thickBot="1">
      <c r="C46" s="461">
        <f>+'Izračun koefic.-klizna skala'!B46</f>
        <v>0</v>
      </c>
      <c r="D46" s="460">
        <f>+'Izračun koefic.-klizna skala'!C46</f>
        <v>0</v>
      </c>
      <c r="E46" s="385"/>
      <c r="F46" s="383"/>
      <c r="G46" s="383"/>
      <c r="H46" s="383"/>
      <c r="I46" s="393"/>
      <c r="J46" s="467">
        <f>+'Izračun koefic.-klizna skala'!L46-Rizik!K49</f>
        <v>1</v>
      </c>
      <c r="K46" s="395">
        <f t="shared" si="1"/>
        <v>0</v>
      </c>
      <c r="L46" s="104"/>
      <c r="M46" s="112">
        <v>13604.09</v>
      </c>
    </row>
    <row r="47" spans="3:18" hidden="1">
      <c r="C47" s="462">
        <v>1</v>
      </c>
      <c r="D47" s="391">
        <v>2025</v>
      </c>
      <c r="E47" s="463">
        <v>0</v>
      </c>
      <c r="F47" s="382"/>
      <c r="G47" s="382"/>
      <c r="H47" s="382"/>
      <c r="I47" s="382"/>
      <c r="J47" s="468">
        <v>0</v>
      </c>
      <c r="K47" s="465">
        <f t="shared" si="1"/>
        <v>0</v>
      </c>
      <c r="L47" s="129"/>
      <c r="M47" s="112">
        <v>13604.09</v>
      </c>
    </row>
    <row r="48" spans="3:18" hidden="1">
      <c r="C48" s="461">
        <f>+C47+1</f>
        <v>2</v>
      </c>
      <c r="D48" s="460">
        <v>2025</v>
      </c>
      <c r="E48" s="385">
        <v>0</v>
      </c>
      <c r="F48" s="383"/>
      <c r="G48" s="383"/>
      <c r="H48" s="383"/>
      <c r="I48" s="393"/>
      <c r="J48" s="467">
        <v>0</v>
      </c>
      <c r="K48" s="395">
        <f t="shared" si="1"/>
        <v>0</v>
      </c>
      <c r="L48" s="104"/>
      <c r="M48" s="112">
        <v>18370.13</v>
      </c>
      <c r="N48" s="107">
        <v>6458.26</v>
      </c>
    </row>
    <row r="49" spans="3:14" hidden="1">
      <c r="C49" s="462">
        <f t="shared" ref="C49:C57" si="3">+C48+1</f>
        <v>3</v>
      </c>
      <c r="D49" s="459">
        <v>2025</v>
      </c>
      <c r="E49" s="463">
        <v>0</v>
      </c>
      <c r="F49" s="382"/>
      <c r="G49" s="382"/>
      <c r="H49" s="382"/>
      <c r="I49" s="382"/>
      <c r="J49" s="468">
        <v>0</v>
      </c>
      <c r="K49" s="465">
        <f t="shared" si="1"/>
        <v>0</v>
      </c>
      <c r="L49" s="129"/>
      <c r="M49" s="112">
        <v>11911.87</v>
      </c>
    </row>
    <row r="50" spans="3:14" hidden="1">
      <c r="C50" s="461">
        <f t="shared" si="3"/>
        <v>4</v>
      </c>
      <c r="D50" s="460">
        <v>2025</v>
      </c>
      <c r="E50" s="385">
        <v>0</v>
      </c>
      <c r="F50" s="383"/>
      <c r="G50" s="383"/>
      <c r="H50" s="383"/>
      <c r="I50" s="393"/>
      <c r="J50" s="467">
        <v>0</v>
      </c>
      <c r="K50" s="395">
        <f t="shared" si="1"/>
        <v>0</v>
      </c>
      <c r="L50" s="104"/>
      <c r="M50" s="112">
        <v>13604.09</v>
      </c>
    </row>
    <row r="51" spans="3:14" hidden="1">
      <c r="C51" s="462">
        <f t="shared" si="3"/>
        <v>5</v>
      </c>
      <c r="D51" s="459">
        <v>2025</v>
      </c>
      <c r="E51" s="463">
        <v>0</v>
      </c>
      <c r="F51" s="382"/>
      <c r="G51" s="382"/>
      <c r="H51" s="382"/>
      <c r="I51" s="382"/>
      <c r="J51" s="468">
        <v>0</v>
      </c>
      <c r="K51" s="465">
        <f t="shared" si="1"/>
        <v>0</v>
      </c>
      <c r="L51" s="129"/>
      <c r="M51" s="112">
        <v>13604.08</v>
      </c>
    </row>
    <row r="52" spans="3:14" hidden="1">
      <c r="C52" s="461">
        <f t="shared" si="3"/>
        <v>6</v>
      </c>
      <c r="D52" s="460">
        <v>2025</v>
      </c>
      <c r="E52" s="385">
        <v>0</v>
      </c>
      <c r="F52" s="383"/>
      <c r="G52" s="383"/>
      <c r="H52" s="383"/>
      <c r="I52" s="393"/>
      <c r="J52" s="467">
        <v>0</v>
      </c>
      <c r="K52" s="395">
        <f t="shared" si="1"/>
        <v>0</v>
      </c>
      <c r="L52" s="104"/>
      <c r="M52" s="112">
        <v>13604.09</v>
      </c>
    </row>
    <row r="53" spans="3:14" hidden="1">
      <c r="C53" s="462">
        <f t="shared" si="3"/>
        <v>7</v>
      </c>
      <c r="D53" s="459">
        <v>2025</v>
      </c>
      <c r="E53" s="463">
        <v>0</v>
      </c>
      <c r="F53" s="382"/>
      <c r="G53" s="382"/>
      <c r="H53" s="382"/>
      <c r="I53" s="382"/>
      <c r="J53" s="468">
        <v>0</v>
      </c>
      <c r="K53" s="465">
        <f t="shared" si="1"/>
        <v>0</v>
      </c>
      <c r="L53" s="129"/>
      <c r="M53" s="112">
        <v>20970.150000000001</v>
      </c>
      <c r="N53" s="107">
        <v>7366.06</v>
      </c>
    </row>
    <row r="54" spans="3:14" hidden="1">
      <c r="C54" s="461">
        <f t="shared" si="3"/>
        <v>8</v>
      </c>
      <c r="D54" s="460">
        <v>2025</v>
      </c>
      <c r="E54" s="385">
        <v>0</v>
      </c>
      <c r="F54" s="383"/>
      <c r="G54" s="383"/>
      <c r="H54" s="383"/>
      <c r="I54" s="393"/>
      <c r="J54" s="467">
        <v>0</v>
      </c>
      <c r="K54" s="395">
        <f t="shared" si="1"/>
        <v>0</v>
      </c>
      <c r="L54" s="104"/>
      <c r="M54" s="112">
        <v>7565.2</v>
      </c>
    </row>
    <row r="55" spans="3:14" hidden="1">
      <c r="C55" s="462">
        <f t="shared" si="3"/>
        <v>9</v>
      </c>
      <c r="D55" s="459">
        <v>2025</v>
      </c>
      <c r="E55" s="463">
        <v>0</v>
      </c>
      <c r="F55" s="382"/>
      <c r="G55" s="382"/>
      <c r="H55" s="382"/>
      <c r="I55" s="382"/>
      <c r="J55" s="513">
        <v>0</v>
      </c>
      <c r="K55" s="465">
        <f t="shared" si="1"/>
        <v>0</v>
      </c>
      <c r="L55" s="129"/>
      <c r="M55" s="112">
        <v>55561.27</v>
      </c>
      <c r="N55" s="107">
        <v>42058.06</v>
      </c>
    </row>
    <row r="56" spans="3:14" hidden="1">
      <c r="C56" s="461">
        <f t="shared" si="3"/>
        <v>10</v>
      </c>
      <c r="D56" s="460">
        <v>2025</v>
      </c>
      <c r="E56" s="385">
        <v>0</v>
      </c>
      <c r="F56" s="383"/>
      <c r="G56" s="383"/>
      <c r="H56" s="383"/>
      <c r="I56" s="393"/>
      <c r="J56" s="467">
        <v>0</v>
      </c>
      <c r="K56" s="395">
        <f t="shared" si="1"/>
        <v>0</v>
      </c>
      <c r="L56" s="104"/>
      <c r="M56" s="112">
        <v>12807.76</v>
      </c>
    </row>
    <row r="57" spans="3:14" ht="16.5" hidden="1" thickBot="1">
      <c r="C57" s="462">
        <f t="shared" si="3"/>
        <v>11</v>
      </c>
      <c r="D57" s="459">
        <v>2025</v>
      </c>
      <c r="E57" s="386">
        <v>0</v>
      </c>
      <c r="F57" s="382"/>
      <c r="G57" s="382"/>
      <c r="H57" s="382"/>
      <c r="I57" s="382"/>
      <c r="J57" s="468">
        <v>0</v>
      </c>
      <c r="K57" s="396">
        <f t="shared" si="1"/>
        <v>0</v>
      </c>
      <c r="L57" s="129"/>
      <c r="M57" s="112">
        <v>4180.7700000000004</v>
      </c>
    </row>
    <row r="58" spans="3:14" ht="16.5" hidden="1" thickBot="1">
      <c r="C58" s="203"/>
      <c r="D58" s="208"/>
      <c r="E58" s="208"/>
      <c r="F58" s="208"/>
      <c r="G58" s="208"/>
      <c r="H58" s="208"/>
      <c r="I58" s="208"/>
      <c r="J58" s="208"/>
      <c r="K58" s="209"/>
      <c r="L58" s="104"/>
      <c r="M58" s="112"/>
    </row>
    <row r="59" spans="3:14" ht="16.5" hidden="1" thickBot="1">
      <c r="C59" s="202"/>
      <c r="D59" s="206"/>
      <c r="E59" s="206"/>
      <c r="F59" s="206"/>
      <c r="G59" s="206"/>
      <c r="H59" s="206"/>
      <c r="I59" s="206"/>
      <c r="J59" s="206"/>
      <c r="K59" s="207"/>
      <c r="L59" s="129"/>
      <c r="M59" s="112"/>
    </row>
    <row r="60" spans="3:14" ht="16.5" hidden="1" thickBot="1">
      <c r="C60" s="203"/>
      <c r="D60" s="204"/>
      <c r="E60" s="204"/>
      <c r="F60" s="204"/>
      <c r="G60" s="204"/>
      <c r="H60" s="204"/>
      <c r="I60" s="204"/>
      <c r="J60" s="204"/>
      <c r="K60" s="205"/>
      <c r="L60" s="104"/>
      <c r="M60" s="112"/>
    </row>
    <row r="61" spans="3:14" ht="16.5" hidden="1" thickBot="1">
      <c r="C61" s="202"/>
      <c r="D61" s="206"/>
      <c r="E61" s="206"/>
      <c r="F61" s="206"/>
      <c r="G61" s="206"/>
      <c r="H61" s="206"/>
      <c r="I61" s="206"/>
      <c r="J61" s="206"/>
      <c r="K61" s="207"/>
      <c r="L61" s="129"/>
      <c r="M61" s="112"/>
    </row>
    <row r="62" spans="3:14" ht="16.5" hidden="1" thickBot="1">
      <c r="C62" s="203"/>
      <c r="D62" s="204"/>
      <c r="E62" s="204"/>
      <c r="F62" s="204"/>
      <c r="G62" s="204"/>
      <c r="H62" s="204"/>
      <c r="I62" s="204"/>
      <c r="J62" s="204"/>
      <c r="K62" s="205"/>
      <c r="L62" s="104"/>
      <c r="M62" s="112"/>
    </row>
    <row r="63" spans="3:14" ht="16.5" hidden="1" thickBot="1">
      <c r="C63" s="202"/>
      <c r="D63" s="206"/>
      <c r="E63" s="206"/>
      <c r="F63" s="206"/>
      <c r="G63" s="206"/>
      <c r="H63" s="206"/>
      <c r="I63" s="206"/>
      <c r="J63" s="206"/>
      <c r="K63" s="207"/>
      <c r="L63" s="129"/>
      <c r="M63" s="112"/>
    </row>
    <row r="64" spans="3:14" ht="16.5" hidden="1" thickBot="1">
      <c r="C64" s="203"/>
      <c r="D64" s="204"/>
      <c r="E64" s="204"/>
      <c r="F64" s="204"/>
      <c r="G64" s="204"/>
      <c r="H64" s="204"/>
      <c r="I64" s="204"/>
      <c r="J64" s="204"/>
      <c r="K64" s="205"/>
      <c r="L64" s="104"/>
      <c r="M64" s="112"/>
    </row>
    <row r="65" spans="3:13" ht="16.5" hidden="1" thickBot="1">
      <c r="C65" s="202"/>
      <c r="D65" s="206"/>
      <c r="E65" s="206"/>
      <c r="F65" s="206"/>
      <c r="G65" s="206"/>
      <c r="H65" s="206"/>
      <c r="I65" s="206"/>
      <c r="J65" s="206"/>
      <c r="K65" s="207"/>
      <c r="L65" s="129"/>
      <c r="M65" s="112"/>
    </row>
    <row r="66" spans="3:13" ht="16.5" hidden="1" thickBot="1">
      <c r="C66" s="203"/>
      <c r="D66" s="204"/>
      <c r="E66" s="204"/>
      <c r="F66" s="204"/>
      <c r="G66" s="204"/>
      <c r="H66" s="204"/>
      <c r="I66" s="204"/>
      <c r="J66" s="204"/>
      <c r="K66" s="205"/>
      <c r="L66" s="104"/>
      <c r="M66" s="112"/>
    </row>
    <row r="67" spans="3:13" ht="16.5" hidden="1" thickBot="1">
      <c r="C67" s="202"/>
      <c r="D67" s="206"/>
      <c r="E67" s="206"/>
      <c r="F67" s="206"/>
      <c r="G67" s="206"/>
      <c r="H67" s="206"/>
      <c r="I67" s="206"/>
      <c r="J67" s="206"/>
      <c r="K67" s="207"/>
      <c r="L67" s="129"/>
      <c r="M67" s="112"/>
    </row>
    <row r="68" spans="3:13" ht="16.5" hidden="1" thickBot="1">
      <c r="C68" s="203"/>
      <c r="D68" s="204"/>
      <c r="E68" s="204"/>
      <c r="F68" s="204"/>
      <c r="G68" s="204"/>
      <c r="H68" s="204"/>
      <c r="I68" s="204"/>
      <c r="J68" s="204"/>
      <c r="K68" s="205"/>
      <c r="L68" s="104"/>
      <c r="M68" s="112"/>
    </row>
    <row r="69" spans="3:13" ht="16.5" hidden="1" thickBot="1">
      <c r="C69" s="202"/>
      <c r="D69" s="206"/>
      <c r="E69" s="206"/>
      <c r="F69" s="206"/>
      <c r="G69" s="206"/>
      <c r="H69" s="206"/>
      <c r="I69" s="206"/>
      <c r="J69" s="206"/>
      <c r="K69" s="207"/>
      <c r="L69" s="129"/>
      <c r="M69" s="112"/>
    </row>
    <row r="70" spans="3:13" ht="16.5" hidden="1" thickBot="1">
      <c r="C70" s="203"/>
      <c r="D70" s="204"/>
      <c r="E70" s="204"/>
      <c r="F70" s="204"/>
      <c r="G70" s="204"/>
      <c r="H70" s="204"/>
      <c r="I70" s="204"/>
      <c r="J70" s="204"/>
      <c r="K70" s="205"/>
      <c r="L70" s="104"/>
      <c r="M70" s="112"/>
    </row>
    <row r="71" spans="3:13" ht="16.5" hidden="1" thickBot="1">
      <c r="C71" s="202"/>
      <c r="D71" s="206"/>
      <c r="E71" s="206"/>
      <c r="F71" s="206"/>
      <c r="G71" s="206"/>
      <c r="H71" s="206"/>
      <c r="I71" s="206"/>
      <c r="J71" s="206"/>
      <c r="K71" s="207"/>
      <c r="L71" s="129"/>
      <c r="M71" s="112"/>
    </row>
    <row r="72" spans="3:13" ht="16.5" hidden="1" thickBot="1">
      <c r="C72" s="203"/>
      <c r="D72" s="204"/>
      <c r="E72" s="204"/>
      <c r="F72" s="204"/>
      <c r="G72" s="204"/>
      <c r="H72" s="204"/>
      <c r="I72" s="204"/>
      <c r="J72" s="204"/>
      <c r="K72" s="205"/>
      <c r="L72" s="104"/>
      <c r="M72" s="112"/>
    </row>
    <row r="73" spans="3:13" ht="16.5" hidden="1" thickBot="1">
      <c r="C73" s="202"/>
      <c r="D73" s="206"/>
      <c r="E73" s="206"/>
      <c r="F73" s="206"/>
      <c r="G73" s="206"/>
      <c r="H73" s="206"/>
      <c r="I73" s="206"/>
      <c r="J73" s="206"/>
      <c r="K73" s="207"/>
      <c r="L73" s="129"/>
      <c r="M73" s="112"/>
    </row>
    <row r="74" spans="3:13" ht="16.5" hidden="1" thickBot="1">
      <c r="C74" s="203"/>
      <c r="D74" s="204"/>
      <c r="E74" s="204"/>
      <c r="F74" s="204"/>
      <c r="G74" s="204"/>
      <c r="H74" s="204"/>
      <c r="I74" s="204"/>
      <c r="J74" s="204"/>
      <c r="K74" s="205"/>
      <c r="L74" s="104"/>
      <c r="M74" s="112"/>
    </row>
    <row r="75" spans="3:13" ht="16.5" hidden="1" thickBot="1">
      <c r="C75" s="202"/>
      <c r="D75" s="206"/>
      <c r="E75" s="206"/>
      <c r="F75" s="206"/>
      <c r="G75" s="206"/>
      <c r="H75" s="206"/>
      <c r="I75" s="206"/>
      <c r="J75" s="206"/>
      <c r="K75" s="207"/>
      <c r="L75" s="129"/>
      <c r="M75" s="112"/>
    </row>
    <row r="76" spans="3:13" ht="16.5" hidden="1" thickBot="1">
      <c r="C76" s="203"/>
      <c r="D76" s="204"/>
      <c r="E76" s="204"/>
      <c r="F76" s="204"/>
      <c r="G76" s="204"/>
      <c r="H76" s="204"/>
      <c r="I76" s="204"/>
      <c r="J76" s="204"/>
      <c r="K76" s="205"/>
      <c r="L76" s="104"/>
      <c r="M76" s="112"/>
    </row>
    <row r="77" spans="3:13" ht="16.5" hidden="1" thickBot="1">
      <c r="C77" s="202"/>
      <c r="D77" s="206"/>
      <c r="E77" s="206"/>
      <c r="F77" s="206"/>
      <c r="G77" s="206"/>
      <c r="H77" s="206"/>
      <c r="I77" s="206"/>
      <c r="J77" s="206"/>
      <c r="K77" s="207"/>
      <c r="L77" s="129"/>
      <c r="M77" s="112"/>
    </row>
    <row r="78" spans="3:13" ht="16.5" hidden="1" thickBot="1">
      <c r="C78" s="203"/>
      <c r="D78" s="204"/>
      <c r="E78" s="204"/>
      <c r="F78" s="204"/>
      <c r="G78" s="204"/>
      <c r="H78" s="204"/>
      <c r="I78" s="204"/>
      <c r="J78" s="204"/>
      <c r="K78" s="205"/>
      <c r="L78" s="104"/>
      <c r="M78" s="112"/>
    </row>
    <row r="79" spans="3:13" ht="16.5" hidden="1" thickBot="1">
      <c r="C79" s="202"/>
      <c r="D79" s="206"/>
      <c r="E79" s="206"/>
      <c r="F79" s="206"/>
      <c r="G79" s="206"/>
      <c r="H79" s="206"/>
      <c r="I79" s="206"/>
      <c r="J79" s="206"/>
      <c r="K79" s="207"/>
      <c r="L79" s="129"/>
      <c r="M79" s="112"/>
    </row>
    <row r="80" spans="3:13" ht="16.5" hidden="1" thickBot="1">
      <c r="C80" s="203"/>
      <c r="D80" s="204"/>
      <c r="E80" s="204"/>
      <c r="F80" s="204"/>
      <c r="G80" s="204"/>
      <c r="H80" s="204"/>
      <c r="I80" s="204"/>
      <c r="J80" s="204"/>
      <c r="K80" s="205"/>
      <c r="L80" s="104"/>
      <c r="M80" s="112"/>
    </row>
    <row r="81" spans="3:13" ht="16.5" hidden="1" thickBot="1">
      <c r="C81" s="202"/>
      <c r="D81" s="206"/>
      <c r="E81" s="206"/>
      <c r="F81" s="206"/>
      <c r="G81" s="206"/>
      <c r="H81" s="206"/>
      <c r="I81" s="206"/>
      <c r="J81" s="206"/>
      <c r="K81" s="207"/>
      <c r="L81" s="129"/>
      <c r="M81" s="112"/>
    </row>
    <row r="82" spans="3:13" ht="16.5" hidden="1" thickBot="1">
      <c r="C82" s="202"/>
      <c r="D82" s="206"/>
      <c r="E82" s="206"/>
      <c r="F82" s="206"/>
      <c r="G82" s="206"/>
      <c r="H82" s="206"/>
      <c r="I82" s="206"/>
      <c r="J82" s="206"/>
      <c r="K82" s="207"/>
      <c r="L82" s="129"/>
      <c r="M82" s="112"/>
    </row>
    <row r="83" spans="3:13" ht="16.5" hidden="1" thickBot="1">
      <c r="C83" s="202"/>
      <c r="D83" s="206"/>
      <c r="E83" s="206"/>
      <c r="F83" s="206"/>
      <c r="G83" s="206"/>
      <c r="H83" s="206"/>
      <c r="I83" s="206"/>
      <c r="J83" s="206"/>
      <c r="K83" s="207"/>
      <c r="L83" s="129"/>
      <c r="M83" s="112"/>
    </row>
    <row r="84" spans="3:13" ht="16.5" hidden="1" thickBot="1">
      <c r="C84" s="202"/>
      <c r="D84" s="206"/>
      <c r="E84" s="206"/>
      <c r="F84" s="206"/>
      <c r="G84" s="206"/>
      <c r="H84" s="206"/>
      <c r="I84" s="206"/>
      <c r="J84" s="206"/>
      <c r="K84" s="207"/>
      <c r="L84" s="129"/>
      <c r="M84" s="112"/>
    </row>
    <row r="85" spans="3:13" ht="16.5" hidden="1" thickBot="1">
      <c r="C85" s="202"/>
      <c r="D85" s="206"/>
      <c r="E85" s="206"/>
      <c r="F85" s="206"/>
      <c r="G85" s="206"/>
      <c r="H85" s="206"/>
      <c r="I85" s="206"/>
      <c r="J85" s="206"/>
      <c r="K85" s="207"/>
      <c r="L85" s="129"/>
      <c r="M85" s="112"/>
    </row>
    <row r="86" spans="3:13" ht="16.5" hidden="1" thickBot="1">
      <c r="C86" s="202"/>
      <c r="D86" s="206"/>
      <c r="E86" s="206"/>
      <c r="F86" s="206"/>
      <c r="G86" s="206"/>
      <c r="H86" s="206"/>
      <c r="I86" s="206"/>
      <c r="J86" s="206"/>
      <c r="K86" s="207"/>
      <c r="L86" s="129"/>
      <c r="M86" s="112"/>
    </row>
    <row r="87" spans="3:13" ht="16.5" hidden="1" thickBot="1">
      <c r="C87" s="202"/>
      <c r="D87" s="206"/>
      <c r="E87" s="206"/>
      <c r="F87" s="206"/>
      <c r="G87" s="206"/>
      <c r="H87" s="206"/>
      <c r="I87" s="206"/>
      <c r="J87" s="206"/>
      <c r="K87" s="207"/>
      <c r="L87" s="129"/>
      <c r="M87" s="112"/>
    </row>
    <row r="88" spans="3:13" ht="16.5" hidden="1" thickBot="1">
      <c r="C88" s="202"/>
      <c r="D88" s="206"/>
      <c r="E88" s="206"/>
      <c r="F88" s="206"/>
      <c r="G88" s="206"/>
      <c r="H88" s="206"/>
      <c r="I88" s="206"/>
      <c r="J88" s="206"/>
      <c r="K88" s="207"/>
      <c r="L88" s="129"/>
      <c r="M88" s="112"/>
    </row>
    <row r="89" spans="3:13" ht="16.5" hidden="1" thickBot="1">
      <c r="C89" s="202"/>
      <c r="D89" s="206"/>
      <c r="E89" s="206"/>
      <c r="F89" s="206"/>
      <c r="G89" s="206"/>
      <c r="H89" s="206"/>
      <c r="I89" s="206"/>
      <c r="J89" s="206"/>
      <c r="K89" s="207"/>
      <c r="L89" s="129"/>
      <c r="M89" s="112"/>
    </row>
    <row r="90" spans="3:13" ht="16.5" hidden="1" thickBot="1">
      <c r="C90" s="202"/>
      <c r="D90" s="206"/>
      <c r="E90" s="206"/>
      <c r="F90" s="206"/>
      <c r="G90" s="206"/>
      <c r="H90" s="206"/>
      <c r="I90" s="206"/>
      <c r="J90" s="206"/>
      <c r="K90" s="207"/>
      <c r="L90" s="129"/>
      <c r="M90" s="112"/>
    </row>
    <row r="91" spans="3:13" ht="16.5" hidden="1" thickBot="1">
      <c r="C91" s="202"/>
      <c r="D91" s="206"/>
      <c r="E91" s="206"/>
      <c r="F91" s="206"/>
      <c r="G91" s="206"/>
      <c r="H91" s="206"/>
      <c r="I91" s="206"/>
      <c r="J91" s="206"/>
      <c r="K91" s="207"/>
      <c r="L91" s="129"/>
      <c r="M91" s="112"/>
    </row>
    <row r="92" spans="3:13" ht="16.5" hidden="1" thickBot="1">
      <c r="C92" s="202"/>
      <c r="D92" s="206"/>
      <c r="E92" s="206"/>
      <c r="F92" s="206"/>
      <c r="G92" s="206"/>
      <c r="H92" s="206"/>
      <c r="I92" s="206"/>
      <c r="J92" s="206"/>
      <c r="K92" s="207"/>
      <c r="L92" s="129"/>
      <c r="M92" s="112"/>
    </row>
    <row r="93" spans="3:13" ht="16.5" hidden="1" thickBot="1">
      <c r="C93" s="202"/>
      <c r="D93" s="206"/>
      <c r="E93" s="206"/>
      <c r="F93" s="206"/>
      <c r="G93" s="206"/>
      <c r="H93" s="206"/>
      <c r="I93" s="206"/>
      <c r="J93" s="206"/>
      <c r="K93" s="207"/>
      <c r="L93" s="129"/>
      <c r="M93" s="112"/>
    </row>
    <row r="94" spans="3:13" ht="16.5" hidden="1" thickBot="1">
      <c r="C94" s="202"/>
      <c r="D94" s="206"/>
      <c r="E94" s="206"/>
      <c r="F94" s="206"/>
      <c r="G94" s="206"/>
      <c r="H94" s="206"/>
      <c r="I94" s="206"/>
      <c r="J94" s="206"/>
      <c r="K94" s="207"/>
      <c r="L94" s="129"/>
      <c r="M94" s="112"/>
    </row>
    <row r="95" spans="3:13" ht="16.5" hidden="1" thickBot="1">
      <c r="C95" s="202"/>
      <c r="D95" s="206"/>
      <c r="E95" s="206"/>
      <c r="F95" s="206"/>
      <c r="G95" s="206"/>
      <c r="H95" s="206"/>
      <c r="I95" s="206"/>
      <c r="J95" s="206"/>
      <c r="K95" s="207"/>
      <c r="L95" s="129"/>
      <c r="M95" s="112"/>
    </row>
    <row r="96" spans="3:13" ht="16.5" hidden="1" thickBot="1">
      <c r="C96" s="202"/>
      <c r="D96" s="206"/>
      <c r="E96" s="206"/>
      <c r="F96" s="206"/>
      <c r="G96" s="206"/>
      <c r="H96" s="206"/>
      <c r="I96" s="206"/>
      <c r="J96" s="206"/>
      <c r="K96" s="207"/>
      <c r="L96" s="129"/>
      <c r="M96" s="112"/>
    </row>
    <row r="97" spans="3:13" ht="16.5" hidden="1" thickBot="1">
      <c r="C97" s="202"/>
      <c r="D97" s="206"/>
      <c r="E97" s="206"/>
      <c r="F97" s="206"/>
      <c r="G97" s="206"/>
      <c r="H97" s="206"/>
      <c r="I97" s="206"/>
      <c r="J97" s="206"/>
      <c r="K97" s="207"/>
      <c r="L97" s="129"/>
      <c r="M97" s="112"/>
    </row>
    <row r="98" spans="3:13" ht="16.5" hidden="1" thickBot="1">
      <c r="C98" s="202"/>
      <c r="D98" s="206"/>
      <c r="E98" s="206"/>
      <c r="F98" s="206"/>
      <c r="G98" s="206"/>
      <c r="H98" s="206"/>
      <c r="I98" s="206"/>
      <c r="J98" s="206"/>
      <c r="K98" s="207"/>
      <c r="L98" s="129"/>
      <c r="M98" s="112"/>
    </row>
    <row r="99" spans="3:13" ht="16.5" hidden="1" thickBot="1">
      <c r="C99" s="202"/>
      <c r="D99" s="206"/>
      <c r="E99" s="206"/>
      <c r="F99" s="206"/>
      <c r="G99" s="206"/>
      <c r="H99" s="206"/>
      <c r="I99" s="206"/>
      <c r="J99" s="206"/>
      <c r="K99" s="207"/>
      <c r="L99" s="129"/>
      <c r="M99" s="112"/>
    </row>
    <row r="100" spans="3:13" ht="16.5" hidden="1" thickBot="1">
      <c r="C100" s="202"/>
      <c r="D100" s="206"/>
      <c r="E100" s="206"/>
      <c r="F100" s="206"/>
      <c r="G100" s="206"/>
      <c r="H100" s="206"/>
      <c r="I100" s="206"/>
      <c r="J100" s="206"/>
      <c r="K100" s="207"/>
      <c r="L100" s="129"/>
      <c r="M100" s="112"/>
    </row>
    <row r="101" spans="3:13" ht="16.5" hidden="1" thickBot="1">
      <c r="C101" s="202"/>
      <c r="D101" s="206"/>
      <c r="E101" s="206"/>
      <c r="F101" s="206"/>
      <c r="G101" s="206"/>
      <c r="H101" s="206"/>
      <c r="I101" s="206"/>
      <c r="J101" s="206"/>
      <c r="K101" s="207"/>
      <c r="L101" s="129"/>
      <c r="M101" s="112"/>
    </row>
    <row r="102" spans="3:13" ht="16.5" hidden="1" thickBot="1">
      <c r="C102" s="202"/>
      <c r="D102" s="206"/>
      <c r="E102" s="206"/>
      <c r="F102" s="206"/>
      <c r="G102" s="206"/>
      <c r="H102" s="206"/>
      <c r="I102" s="206"/>
      <c r="J102" s="206"/>
      <c r="K102" s="207"/>
      <c r="L102" s="129"/>
      <c r="M102" s="112"/>
    </row>
    <row r="103" spans="3:13" ht="16.5" hidden="1" thickBot="1">
      <c r="C103" s="202"/>
      <c r="D103" s="206"/>
      <c r="E103" s="206"/>
      <c r="F103" s="206"/>
      <c r="G103" s="206"/>
      <c r="H103" s="206"/>
      <c r="I103" s="206"/>
      <c r="J103" s="206"/>
      <c r="K103" s="207"/>
      <c r="L103" s="129"/>
      <c r="M103" s="112"/>
    </row>
    <row r="104" spans="3:13" ht="16.5" hidden="1" thickBot="1">
      <c r="C104" s="202"/>
      <c r="D104" s="206"/>
      <c r="E104" s="206"/>
      <c r="F104" s="206"/>
      <c r="G104" s="206"/>
      <c r="H104" s="206"/>
      <c r="I104" s="206"/>
      <c r="J104" s="206"/>
      <c r="K104" s="207"/>
      <c r="L104" s="129"/>
      <c r="M104" s="112"/>
    </row>
    <row r="105" spans="3:13" ht="16.5" hidden="1" thickBot="1">
      <c r="C105" s="202"/>
      <c r="D105" s="206"/>
      <c r="E105" s="206"/>
      <c r="F105" s="206"/>
      <c r="G105" s="206"/>
      <c r="H105" s="206"/>
      <c r="I105" s="206"/>
      <c r="J105" s="206"/>
      <c r="K105" s="207"/>
      <c r="L105" s="129"/>
      <c r="M105" s="112"/>
    </row>
    <row r="106" spans="3:13" ht="16.5" hidden="1" thickBot="1">
      <c r="C106" s="202"/>
      <c r="D106" s="206"/>
      <c r="E106" s="206"/>
      <c r="F106" s="206"/>
      <c r="G106" s="206"/>
      <c r="H106" s="206"/>
      <c r="I106" s="206"/>
      <c r="J106" s="206"/>
      <c r="K106" s="207"/>
      <c r="L106" s="129"/>
      <c r="M106" s="112"/>
    </row>
    <row r="107" spans="3:13" ht="16.5" hidden="1" thickBot="1">
      <c r="C107" s="202"/>
      <c r="D107" s="206"/>
      <c r="E107" s="206"/>
      <c r="F107" s="206"/>
      <c r="G107" s="206"/>
      <c r="H107" s="206"/>
      <c r="I107" s="206"/>
      <c r="J107" s="206"/>
      <c r="K107" s="207"/>
      <c r="L107" s="129"/>
      <c r="M107" s="112"/>
    </row>
    <row r="108" spans="3:13" ht="16.5" hidden="1" thickBot="1">
      <c r="C108" s="202"/>
      <c r="D108" s="206"/>
      <c r="E108" s="206"/>
      <c r="F108" s="206"/>
      <c r="G108" s="206"/>
      <c r="H108" s="206"/>
      <c r="I108" s="206"/>
      <c r="J108" s="206"/>
      <c r="K108" s="207"/>
      <c r="L108" s="129"/>
      <c r="M108" s="112"/>
    </row>
    <row r="109" spans="3:13" ht="16.5" hidden="1" thickBot="1">
      <c r="C109" s="202"/>
      <c r="D109" s="206"/>
      <c r="E109" s="206"/>
      <c r="F109" s="206"/>
      <c r="G109" s="206"/>
      <c r="H109" s="206"/>
      <c r="I109" s="206"/>
      <c r="J109" s="206"/>
      <c r="K109" s="207"/>
      <c r="L109" s="129"/>
      <c r="M109" s="112"/>
    </row>
    <row r="110" spans="3:13" ht="16.5" hidden="1" thickBot="1">
      <c r="C110" s="202"/>
      <c r="D110" s="206"/>
      <c r="E110" s="206"/>
      <c r="F110" s="206"/>
      <c r="G110" s="206"/>
      <c r="H110" s="206"/>
      <c r="I110" s="206"/>
      <c r="J110" s="206"/>
      <c r="K110" s="207"/>
      <c r="L110" s="129"/>
      <c r="M110" s="112"/>
    </row>
    <row r="111" spans="3:13" ht="16.5" hidden="1" thickBot="1">
      <c r="C111" s="202"/>
      <c r="D111" s="206"/>
      <c r="E111" s="206"/>
      <c r="F111" s="206"/>
      <c r="G111" s="206"/>
      <c r="H111" s="206"/>
      <c r="I111" s="206"/>
      <c r="J111" s="206"/>
      <c r="K111" s="207"/>
      <c r="L111" s="129"/>
      <c r="M111" s="112"/>
    </row>
    <row r="112" spans="3:13" ht="16.5" hidden="1" thickBot="1">
      <c r="C112" s="202"/>
      <c r="D112" s="206"/>
      <c r="E112" s="206"/>
      <c r="F112" s="206"/>
      <c r="G112" s="206"/>
      <c r="H112" s="206"/>
      <c r="I112" s="206"/>
      <c r="J112" s="206"/>
      <c r="K112" s="207"/>
      <c r="L112" s="129"/>
      <c r="M112" s="112"/>
    </row>
    <row r="113" spans="3:15" ht="16.5" hidden="1" thickBot="1">
      <c r="C113" s="202"/>
      <c r="D113" s="206"/>
      <c r="E113" s="206"/>
      <c r="F113" s="206"/>
      <c r="G113" s="206"/>
      <c r="H113" s="206"/>
      <c r="I113" s="206"/>
      <c r="J113" s="206"/>
      <c r="K113" s="207"/>
      <c r="L113" s="129"/>
      <c r="M113" s="112"/>
    </row>
    <row r="114" spans="3:15" ht="16.5" hidden="1" thickBot="1">
      <c r="C114" s="202"/>
      <c r="D114" s="206"/>
      <c r="E114" s="206"/>
      <c r="F114" s="206"/>
      <c r="G114" s="206"/>
      <c r="H114" s="206"/>
      <c r="I114" s="206"/>
      <c r="J114" s="206"/>
      <c r="K114" s="207"/>
      <c r="L114" s="129"/>
      <c r="M114" s="112"/>
    </row>
    <row r="115" spans="3:15" ht="16.5" hidden="1" thickBot="1">
      <c r="C115" s="202"/>
      <c r="D115" s="206"/>
      <c r="E115" s="206"/>
      <c r="F115" s="206"/>
      <c r="G115" s="206"/>
      <c r="H115" s="206"/>
      <c r="I115" s="206"/>
      <c r="J115" s="206"/>
      <c r="K115" s="207"/>
      <c r="L115" s="129"/>
      <c r="M115" s="112"/>
    </row>
    <row r="116" spans="3:15" ht="16.5" hidden="1" thickBot="1">
      <c r="C116" s="202"/>
      <c r="D116" s="398"/>
      <c r="E116" s="398"/>
      <c r="F116" s="398"/>
      <c r="G116" s="398"/>
      <c r="H116" s="398"/>
      <c r="I116" s="398"/>
      <c r="J116" s="398"/>
      <c r="K116" s="399"/>
      <c r="L116" s="129"/>
      <c r="M116" s="112"/>
    </row>
    <row r="117" spans="3:15" ht="16.5" thickBot="1">
      <c r="C117" s="400"/>
      <c r="D117" s="401"/>
      <c r="E117" s="464">
        <f>SUM(E23:E116)</f>
        <v>0</v>
      </c>
      <c r="F117" s="401"/>
      <c r="G117" s="401"/>
      <c r="H117" s="401"/>
      <c r="I117" s="401"/>
      <c r="J117" s="401" t="s">
        <v>378</v>
      </c>
      <c r="K117" s="466">
        <f>SUM(K23:K56)</f>
        <v>0</v>
      </c>
      <c r="L117" s="107"/>
      <c r="N117" s="107">
        <f>SUM(N27:N116)</f>
        <v>82384.47801114872</v>
      </c>
      <c r="O117" s="528"/>
    </row>
    <row r="118" spans="3:15">
      <c r="L118" s="112"/>
      <c r="M118" s="112"/>
    </row>
    <row r="119" spans="3:15">
      <c r="L119" s="107"/>
    </row>
    <row r="120" spans="3:15" hidden="1">
      <c r="C120" s="111" t="s">
        <v>102</v>
      </c>
      <c r="L120" s="112"/>
      <c r="M120" s="112"/>
    </row>
    <row r="121" spans="3:15" hidden="1">
      <c r="L121" s="107"/>
    </row>
    <row r="122" spans="3:15" ht="48.6" hidden="1" customHeight="1">
      <c r="C122" s="98" t="s">
        <v>73</v>
      </c>
      <c r="D122" s="100"/>
      <c r="E122" s="99" t="s">
        <v>74</v>
      </c>
      <c r="F122" s="100" t="s">
        <v>75</v>
      </c>
      <c r="G122" s="100" t="s">
        <v>76</v>
      </c>
      <c r="H122" s="100" t="s">
        <v>77</v>
      </c>
      <c r="I122" s="100" t="s">
        <v>78</v>
      </c>
      <c r="J122" s="100" t="s">
        <v>79</v>
      </c>
      <c r="K122" s="100"/>
      <c r="L122" s="107"/>
    </row>
    <row r="123" spans="3:15" ht="17.25" hidden="1" customHeight="1">
      <c r="C123" s="113" t="s">
        <v>80</v>
      </c>
      <c r="D123" s="114"/>
      <c r="E123" s="115" t="e">
        <f>+'Izračun koefic.-klizna skala'!#REF!</f>
        <v>#REF!</v>
      </c>
      <c r="F123" s="110"/>
      <c r="G123" s="110"/>
      <c r="H123" s="110"/>
      <c r="I123" s="110"/>
      <c r="J123" s="110"/>
      <c r="L123" s="107"/>
    </row>
    <row r="124" spans="3:15" ht="17.25" hidden="1" customHeight="1">
      <c r="C124" s="101" t="s">
        <v>103</v>
      </c>
      <c r="D124" s="116"/>
      <c r="E124" s="106" t="e">
        <f>+'Izračun koefic.-klizna skala'!#REF!/100</f>
        <v>#REF!</v>
      </c>
      <c r="F124" s="116" t="e">
        <f t="shared" ref="F124:F140" si="4">+E124/E$8*D124</f>
        <v>#REF!</v>
      </c>
      <c r="G124" s="116"/>
      <c r="H124" s="116" t="e">
        <f t="shared" ref="H124:H140" si="5">+E124/E$8*G124</f>
        <v>#REF!</v>
      </c>
      <c r="I124" s="116">
        <f t="shared" ref="I124:I140" si="6">+G124+D124</f>
        <v>0</v>
      </c>
      <c r="J124" s="116" t="e">
        <f t="shared" ref="J124:J140" si="7">+H124+F124</f>
        <v>#REF!</v>
      </c>
      <c r="K124" s="104"/>
      <c r="L124" s="107"/>
    </row>
    <row r="125" spans="3:15" ht="17.25" hidden="1" customHeight="1">
      <c r="C125" s="102" t="s">
        <v>104</v>
      </c>
      <c r="D125" s="117"/>
      <c r="E125" s="105" t="e">
        <f>+'Izračun koefic.-klizna skala'!#REF!/100</f>
        <v>#REF!</v>
      </c>
      <c r="F125" s="117" t="e">
        <f t="shared" si="4"/>
        <v>#REF!</v>
      </c>
      <c r="G125" s="117"/>
      <c r="H125" s="117" t="e">
        <f t="shared" si="5"/>
        <v>#REF!</v>
      </c>
      <c r="I125" s="117">
        <f t="shared" si="6"/>
        <v>0</v>
      </c>
      <c r="J125" s="117" t="e">
        <f t="shared" si="7"/>
        <v>#REF!</v>
      </c>
      <c r="K125" s="103"/>
      <c r="L125" s="107"/>
    </row>
    <row r="126" spans="3:15" ht="17.25" hidden="1" customHeight="1">
      <c r="C126" s="101" t="s">
        <v>105</v>
      </c>
      <c r="D126" s="116"/>
      <c r="E126" s="106" t="e">
        <f>+'Izračun koefic.-klizna skala'!#REF!/100</f>
        <v>#REF!</v>
      </c>
      <c r="F126" s="116" t="e">
        <f t="shared" si="4"/>
        <v>#REF!</v>
      </c>
      <c r="G126" s="116"/>
      <c r="H126" s="116" t="e">
        <f t="shared" si="5"/>
        <v>#REF!</v>
      </c>
      <c r="I126" s="116">
        <f t="shared" si="6"/>
        <v>0</v>
      </c>
      <c r="J126" s="116" t="e">
        <f t="shared" si="7"/>
        <v>#REF!</v>
      </c>
      <c r="K126" s="104"/>
      <c r="L126" s="107"/>
    </row>
    <row r="127" spans="3:15" ht="17.25" hidden="1" customHeight="1">
      <c r="C127" s="102" t="s">
        <v>106</v>
      </c>
      <c r="D127" s="117"/>
      <c r="E127" s="105" t="e">
        <f>+'Izračun koefic.-klizna skala'!#REF!/100</f>
        <v>#REF!</v>
      </c>
      <c r="F127" s="117" t="e">
        <f t="shared" si="4"/>
        <v>#REF!</v>
      </c>
      <c r="G127" s="117"/>
      <c r="H127" s="117" t="e">
        <f t="shared" si="5"/>
        <v>#REF!</v>
      </c>
      <c r="I127" s="117">
        <f t="shared" si="6"/>
        <v>0</v>
      </c>
      <c r="J127" s="117" t="e">
        <f t="shared" si="7"/>
        <v>#REF!</v>
      </c>
      <c r="K127" s="103"/>
      <c r="L127" s="107"/>
    </row>
    <row r="128" spans="3:15" ht="17.25" hidden="1" customHeight="1">
      <c r="C128" s="101" t="s">
        <v>107</v>
      </c>
      <c r="D128" s="116"/>
      <c r="E128" s="106" t="e">
        <f>+'Izračun koefic.-klizna skala'!#REF!/100</f>
        <v>#REF!</v>
      </c>
      <c r="F128" s="116" t="e">
        <f t="shared" si="4"/>
        <v>#REF!</v>
      </c>
      <c r="G128" s="116"/>
      <c r="H128" s="116" t="e">
        <f t="shared" si="5"/>
        <v>#REF!</v>
      </c>
      <c r="I128" s="116">
        <f t="shared" si="6"/>
        <v>0</v>
      </c>
      <c r="J128" s="116" t="e">
        <f t="shared" si="7"/>
        <v>#REF!</v>
      </c>
      <c r="K128" s="104"/>
      <c r="L128" s="107"/>
    </row>
    <row r="129" spans="3:12" ht="17.25" hidden="1" customHeight="1">
      <c r="C129" s="102" t="s">
        <v>108</v>
      </c>
      <c r="D129" s="117"/>
      <c r="E129" s="105" t="e">
        <f>+'Izračun koefic.-klizna skala'!#REF!/100</f>
        <v>#REF!</v>
      </c>
      <c r="F129" s="117" t="e">
        <f t="shared" si="4"/>
        <v>#REF!</v>
      </c>
      <c r="G129" s="117"/>
      <c r="H129" s="117" t="e">
        <f t="shared" si="5"/>
        <v>#REF!</v>
      </c>
      <c r="I129" s="117">
        <f t="shared" si="6"/>
        <v>0</v>
      </c>
      <c r="J129" s="117" t="e">
        <f t="shared" si="7"/>
        <v>#REF!</v>
      </c>
      <c r="K129" s="103"/>
      <c r="L129" s="107"/>
    </row>
    <row r="130" spans="3:12" ht="17.25" hidden="1" customHeight="1">
      <c r="C130" s="101" t="s">
        <v>109</v>
      </c>
      <c r="D130" s="116"/>
      <c r="E130" s="106" t="e">
        <f>+'Izračun koefic.-klizna skala'!#REF!/100</f>
        <v>#REF!</v>
      </c>
      <c r="F130" s="116" t="e">
        <f t="shared" si="4"/>
        <v>#REF!</v>
      </c>
      <c r="G130" s="116"/>
      <c r="H130" s="116" t="e">
        <f t="shared" si="5"/>
        <v>#REF!</v>
      </c>
      <c r="I130" s="116">
        <f t="shared" si="6"/>
        <v>0</v>
      </c>
      <c r="J130" s="116" t="e">
        <f t="shared" si="7"/>
        <v>#REF!</v>
      </c>
      <c r="K130" s="104"/>
      <c r="L130" s="107"/>
    </row>
    <row r="131" spans="3:12" ht="17.25" hidden="1" customHeight="1">
      <c r="C131" s="102" t="s">
        <v>110</v>
      </c>
      <c r="D131" s="117"/>
      <c r="E131" s="105" t="e">
        <f>+'Izračun koefic.-klizna skala'!#REF!/100</f>
        <v>#REF!</v>
      </c>
      <c r="F131" s="117" t="e">
        <f t="shared" si="4"/>
        <v>#REF!</v>
      </c>
      <c r="G131" s="117"/>
      <c r="H131" s="117" t="e">
        <f t="shared" si="5"/>
        <v>#REF!</v>
      </c>
      <c r="I131" s="117">
        <f t="shared" si="6"/>
        <v>0</v>
      </c>
      <c r="J131" s="117" t="e">
        <f t="shared" si="7"/>
        <v>#REF!</v>
      </c>
      <c r="K131" s="103"/>
      <c r="L131" s="107"/>
    </row>
    <row r="132" spans="3:12" ht="17.25" hidden="1" customHeight="1">
      <c r="C132" s="101" t="s">
        <v>111</v>
      </c>
      <c r="D132" s="116"/>
      <c r="E132" s="106" t="e">
        <f>+'Izračun koefic.-klizna skala'!#REF!/100</f>
        <v>#REF!</v>
      </c>
      <c r="F132" s="116" t="e">
        <f t="shared" si="4"/>
        <v>#REF!</v>
      </c>
      <c r="G132" s="116"/>
      <c r="H132" s="116" t="e">
        <f t="shared" si="5"/>
        <v>#REF!</v>
      </c>
      <c r="I132" s="116">
        <f t="shared" si="6"/>
        <v>0</v>
      </c>
      <c r="J132" s="116" t="e">
        <f t="shared" si="7"/>
        <v>#REF!</v>
      </c>
      <c r="K132" s="104"/>
      <c r="L132" s="107"/>
    </row>
    <row r="133" spans="3:12" ht="17.25" hidden="1" customHeight="1">
      <c r="C133" s="102" t="s">
        <v>112</v>
      </c>
      <c r="D133" s="117"/>
      <c r="E133" s="105" t="e">
        <f>+'Izračun koefic.-klizna skala'!#REF!/100</f>
        <v>#REF!</v>
      </c>
      <c r="F133" s="117" t="e">
        <f t="shared" si="4"/>
        <v>#REF!</v>
      </c>
      <c r="G133" s="117"/>
      <c r="H133" s="117" t="e">
        <f t="shared" si="5"/>
        <v>#REF!</v>
      </c>
      <c r="I133" s="117">
        <f t="shared" si="6"/>
        <v>0</v>
      </c>
      <c r="J133" s="117" t="e">
        <f t="shared" si="7"/>
        <v>#REF!</v>
      </c>
      <c r="K133" s="103"/>
      <c r="L133" s="107"/>
    </row>
    <row r="134" spans="3:12" ht="17.25" hidden="1" customHeight="1">
      <c r="C134" s="101" t="s">
        <v>113</v>
      </c>
      <c r="D134" s="116"/>
      <c r="E134" s="106" t="e">
        <f>+'Izračun koefic.-klizna skala'!#REF!/100</f>
        <v>#REF!</v>
      </c>
      <c r="F134" s="116" t="e">
        <f t="shared" si="4"/>
        <v>#REF!</v>
      </c>
      <c r="G134" s="116"/>
      <c r="H134" s="116" t="e">
        <f t="shared" si="5"/>
        <v>#REF!</v>
      </c>
      <c r="I134" s="116">
        <f t="shared" si="6"/>
        <v>0</v>
      </c>
      <c r="J134" s="116" t="e">
        <f t="shared" si="7"/>
        <v>#REF!</v>
      </c>
      <c r="K134" s="104"/>
      <c r="L134" s="107"/>
    </row>
    <row r="135" spans="3:12" ht="17.25" hidden="1" customHeight="1">
      <c r="C135" s="102" t="s">
        <v>114</v>
      </c>
      <c r="D135" s="117"/>
      <c r="E135" s="105" t="e">
        <f>+'Izračun koefic.-klizna skala'!#REF!/100</f>
        <v>#REF!</v>
      </c>
      <c r="F135" s="117" t="e">
        <f t="shared" si="4"/>
        <v>#REF!</v>
      </c>
      <c r="G135" s="117"/>
      <c r="H135" s="117" t="e">
        <f t="shared" si="5"/>
        <v>#REF!</v>
      </c>
      <c r="I135" s="117">
        <f t="shared" si="6"/>
        <v>0</v>
      </c>
      <c r="J135" s="117" t="e">
        <f t="shared" si="7"/>
        <v>#REF!</v>
      </c>
      <c r="K135" s="103"/>
      <c r="L135" s="107"/>
    </row>
    <row r="136" spans="3:12" ht="17.25" hidden="1" customHeight="1">
      <c r="C136" s="101" t="s">
        <v>119</v>
      </c>
      <c r="D136" s="116"/>
      <c r="E136" s="106" t="e">
        <f>+'Izračun koefic.-klizna skala'!#REF!/100</f>
        <v>#REF!</v>
      </c>
      <c r="F136" s="116" t="e">
        <f t="shared" si="4"/>
        <v>#REF!</v>
      </c>
      <c r="G136" s="116"/>
      <c r="H136" s="116" t="e">
        <f t="shared" si="5"/>
        <v>#REF!</v>
      </c>
      <c r="I136" s="116">
        <f t="shared" si="6"/>
        <v>0</v>
      </c>
      <c r="J136" s="116" t="e">
        <f t="shared" si="7"/>
        <v>#REF!</v>
      </c>
      <c r="K136" s="104"/>
      <c r="L136" s="107"/>
    </row>
    <row r="137" spans="3:12" ht="17.25" hidden="1" customHeight="1">
      <c r="C137" s="102" t="s">
        <v>115</v>
      </c>
      <c r="D137" s="117"/>
      <c r="E137" s="105" t="e">
        <f>+'Izračun koefic.-klizna skala'!#REF!/100</f>
        <v>#REF!</v>
      </c>
      <c r="F137" s="117" t="e">
        <f t="shared" si="4"/>
        <v>#REF!</v>
      </c>
      <c r="G137" s="117"/>
      <c r="H137" s="117" t="e">
        <f t="shared" si="5"/>
        <v>#REF!</v>
      </c>
      <c r="I137" s="117">
        <f t="shared" si="6"/>
        <v>0</v>
      </c>
      <c r="J137" s="117" t="e">
        <f t="shared" si="7"/>
        <v>#REF!</v>
      </c>
      <c r="K137" s="103"/>
      <c r="L137" s="107"/>
    </row>
    <row r="138" spans="3:12" ht="17.25" hidden="1" customHeight="1">
      <c r="C138" s="101" t="s">
        <v>116</v>
      </c>
      <c r="D138" s="116"/>
      <c r="E138" s="106" t="e">
        <f>+'Izračun koefic.-klizna skala'!#REF!/100</f>
        <v>#REF!</v>
      </c>
      <c r="F138" s="116" t="e">
        <f t="shared" si="4"/>
        <v>#REF!</v>
      </c>
      <c r="G138" s="116"/>
      <c r="H138" s="116" t="e">
        <f t="shared" si="5"/>
        <v>#REF!</v>
      </c>
      <c r="I138" s="116">
        <f t="shared" si="6"/>
        <v>0</v>
      </c>
      <c r="J138" s="116" t="e">
        <f t="shared" si="7"/>
        <v>#REF!</v>
      </c>
      <c r="K138" s="104"/>
      <c r="L138" s="107"/>
    </row>
    <row r="139" spans="3:12" ht="17.25" hidden="1" customHeight="1">
      <c r="C139" s="102" t="s">
        <v>117</v>
      </c>
      <c r="D139" s="117"/>
      <c r="E139" s="105" t="e">
        <f>+'Izračun koefic.-klizna skala'!#REF!/100</f>
        <v>#REF!</v>
      </c>
      <c r="F139" s="117" t="e">
        <f t="shared" si="4"/>
        <v>#REF!</v>
      </c>
      <c r="G139" s="117"/>
      <c r="H139" s="117" t="e">
        <f t="shared" si="5"/>
        <v>#REF!</v>
      </c>
      <c r="I139" s="117">
        <f t="shared" si="6"/>
        <v>0</v>
      </c>
      <c r="J139" s="117" t="e">
        <f t="shared" si="7"/>
        <v>#REF!</v>
      </c>
      <c r="K139" s="103"/>
      <c r="L139" s="107"/>
    </row>
    <row r="140" spans="3:12" ht="17.25" hidden="1" customHeight="1">
      <c r="C140" s="101" t="s">
        <v>118</v>
      </c>
      <c r="D140" s="116"/>
      <c r="E140" s="106" t="e">
        <f>+'Izračun koefic.-klizna skala'!#REF!/100</f>
        <v>#REF!</v>
      </c>
      <c r="F140" s="116" t="e">
        <f t="shared" si="4"/>
        <v>#REF!</v>
      </c>
      <c r="G140" s="116"/>
      <c r="H140" s="116" t="e">
        <f t="shared" si="5"/>
        <v>#REF!</v>
      </c>
      <c r="I140" s="116">
        <f t="shared" si="6"/>
        <v>0</v>
      </c>
      <c r="J140" s="116" t="e">
        <f t="shared" si="7"/>
        <v>#REF!</v>
      </c>
      <c r="K140" s="104"/>
      <c r="L140" s="107"/>
    </row>
    <row r="141" spans="3:12" hidden="1">
      <c r="C141" s="102" t="s">
        <v>81</v>
      </c>
      <c r="D141" s="103"/>
      <c r="E141" s="105">
        <f>+'Izračun koefic.-klizna skala'!I23/100</f>
        <v>0</v>
      </c>
      <c r="F141" s="103">
        <f>+D141*E141</f>
        <v>0</v>
      </c>
      <c r="G141" s="103"/>
      <c r="H141" s="103" t="e">
        <f>+E141/E$123*G141</f>
        <v>#REF!</v>
      </c>
      <c r="I141" s="103">
        <f>+G141+D141</f>
        <v>0</v>
      </c>
      <c r="J141" s="103" t="e">
        <f>+H141+F141</f>
        <v>#REF!</v>
      </c>
      <c r="K141" s="103"/>
      <c r="L141" s="107"/>
    </row>
    <row r="142" spans="3:12" hidden="1">
      <c r="C142" s="101" t="s">
        <v>82</v>
      </c>
      <c r="D142" s="104"/>
      <c r="E142" s="106">
        <f>+'Izračun koefic.-klizna skala'!I24/100</f>
        <v>0</v>
      </c>
      <c r="F142" s="104">
        <f t="shared" ref="F142:F161" si="8">+D142*E142</f>
        <v>0</v>
      </c>
      <c r="G142" s="104"/>
      <c r="H142" s="104" t="e">
        <f>+E142/E$123*G142</f>
        <v>#REF!</v>
      </c>
      <c r="I142" s="104">
        <f t="shared" ref="I142:I160" si="9">+G142+D142</f>
        <v>0</v>
      </c>
      <c r="J142" s="104" t="e">
        <f t="shared" ref="J142:J160" si="10">+H142+F142</f>
        <v>#REF!</v>
      </c>
      <c r="K142" s="104"/>
      <c r="L142" s="107"/>
    </row>
    <row r="143" spans="3:12" hidden="1">
      <c r="C143" s="102" t="s">
        <v>83</v>
      </c>
      <c r="D143" s="103"/>
      <c r="E143" s="105">
        <f>+'Izračun koefic.-klizna skala'!I25/100</f>
        <v>0</v>
      </c>
      <c r="F143" s="103">
        <f t="shared" si="8"/>
        <v>0</v>
      </c>
      <c r="G143" s="103"/>
      <c r="H143" s="103" t="e">
        <f t="shared" ref="H143:H160" si="11">+E143/E$123*G143</f>
        <v>#REF!</v>
      </c>
      <c r="I143" s="103">
        <f t="shared" si="9"/>
        <v>0</v>
      </c>
      <c r="J143" s="103" t="e">
        <f t="shared" si="10"/>
        <v>#REF!</v>
      </c>
      <c r="K143" s="103"/>
      <c r="L143" s="107"/>
    </row>
    <row r="144" spans="3:12" hidden="1">
      <c r="C144" s="101" t="s">
        <v>84</v>
      </c>
      <c r="D144" s="104"/>
      <c r="E144" s="106">
        <f>+'Izračun koefic.-klizna skala'!I26/100</f>
        <v>0</v>
      </c>
      <c r="F144" s="104">
        <f t="shared" si="8"/>
        <v>0</v>
      </c>
      <c r="G144" s="104"/>
      <c r="H144" s="104" t="e">
        <f t="shared" si="11"/>
        <v>#REF!</v>
      </c>
      <c r="I144" s="104">
        <f t="shared" si="9"/>
        <v>0</v>
      </c>
      <c r="J144" s="104" t="e">
        <f t="shared" si="10"/>
        <v>#REF!</v>
      </c>
      <c r="K144" s="104"/>
      <c r="L144" s="107"/>
    </row>
    <row r="145" spans="3:12" hidden="1">
      <c r="C145" s="102" t="s">
        <v>85</v>
      </c>
      <c r="D145" s="103"/>
      <c r="E145" s="105">
        <f>+'Izračun koefic.-klizna skala'!I27/100</f>
        <v>0</v>
      </c>
      <c r="F145" s="103">
        <f t="shared" si="8"/>
        <v>0</v>
      </c>
      <c r="G145" s="103"/>
      <c r="H145" s="103" t="e">
        <f t="shared" si="11"/>
        <v>#REF!</v>
      </c>
      <c r="I145" s="103">
        <f t="shared" si="9"/>
        <v>0</v>
      </c>
      <c r="J145" s="103" t="e">
        <f t="shared" si="10"/>
        <v>#REF!</v>
      </c>
      <c r="K145" s="103"/>
      <c r="L145" s="107"/>
    </row>
    <row r="146" spans="3:12" hidden="1">
      <c r="C146" s="101" t="s">
        <v>86</v>
      </c>
      <c r="D146" s="104"/>
      <c r="E146" s="106">
        <f>+'Izračun koefic.-klizna skala'!I28/100</f>
        <v>0</v>
      </c>
      <c r="F146" s="104">
        <f t="shared" si="8"/>
        <v>0</v>
      </c>
      <c r="G146" s="104"/>
      <c r="H146" s="104" t="e">
        <f t="shared" si="11"/>
        <v>#REF!</v>
      </c>
      <c r="I146" s="104">
        <f t="shared" si="9"/>
        <v>0</v>
      </c>
      <c r="J146" s="104" t="e">
        <f t="shared" si="10"/>
        <v>#REF!</v>
      </c>
      <c r="K146" s="104"/>
      <c r="L146" s="107"/>
    </row>
    <row r="147" spans="3:12" hidden="1">
      <c r="C147" s="102" t="s">
        <v>87</v>
      </c>
      <c r="D147" s="103"/>
      <c r="E147" s="105">
        <f>+'Izračun koefic.-klizna skala'!I29/100</f>
        <v>0</v>
      </c>
      <c r="F147" s="103">
        <f t="shared" si="8"/>
        <v>0</v>
      </c>
      <c r="G147" s="103"/>
      <c r="H147" s="103" t="e">
        <f t="shared" si="11"/>
        <v>#REF!</v>
      </c>
      <c r="I147" s="103">
        <f t="shared" si="9"/>
        <v>0</v>
      </c>
      <c r="J147" s="103" t="e">
        <f t="shared" si="10"/>
        <v>#REF!</v>
      </c>
      <c r="K147" s="103"/>
      <c r="L147" s="107"/>
    </row>
    <row r="148" spans="3:12" hidden="1">
      <c r="C148" s="101" t="s">
        <v>88</v>
      </c>
      <c r="D148" s="104"/>
      <c r="E148" s="106">
        <f>+'Izračun koefic.-klizna skala'!I30/100</f>
        <v>0</v>
      </c>
      <c r="F148" s="104">
        <f t="shared" si="8"/>
        <v>0</v>
      </c>
      <c r="G148" s="104"/>
      <c r="H148" s="104" t="e">
        <f t="shared" si="11"/>
        <v>#REF!</v>
      </c>
      <c r="I148" s="104">
        <f t="shared" si="9"/>
        <v>0</v>
      </c>
      <c r="J148" s="104" t="e">
        <f t="shared" si="10"/>
        <v>#REF!</v>
      </c>
      <c r="K148" s="104"/>
      <c r="L148" s="107"/>
    </row>
    <row r="149" spans="3:12" hidden="1">
      <c r="C149" s="102" t="s">
        <v>89</v>
      </c>
      <c r="D149" s="103"/>
      <c r="E149" s="105">
        <f>+'Izračun koefic.-klizna skala'!I31/100</f>
        <v>0</v>
      </c>
      <c r="F149" s="103">
        <f t="shared" si="8"/>
        <v>0</v>
      </c>
      <c r="G149" s="103"/>
      <c r="H149" s="103" t="e">
        <f t="shared" si="11"/>
        <v>#REF!</v>
      </c>
      <c r="I149" s="103">
        <f t="shared" si="9"/>
        <v>0</v>
      </c>
      <c r="J149" s="103" t="e">
        <f t="shared" si="10"/>
        <v>#REF!</v>
      </c>
      <c r="K149" s="103"/>
      <c r="L149" s="107"/>
    </row>
    <row r="150" spans="3:12" hidden="1">
      <c r="C150" s="101" t="s">
        <v>90</v>
      </c>
      <c r="D150" s="104"/>
      <c r="E150" s="106">
        <f>+'Izračun koefic.-klizna skala'!I32/100</f>
        <v>0</v>
      </c>
      <c r="F150" s="104">
        <f t="shared" si="8"/>
        <v>0</v>
      </c>
      <c r="G150" s="104"/>
      <c r="H150" s="104" t="e">
        <f t="shared" si="11"/>
        <v>#REF!</v>
      </c>
      <c r="I150" s="104">
        <f t="shared" si="9"/>
        <v>0</v>
      </c>
      <c r="J150" s="104" t="e">
        <f t="shared" si="10"/>
        <v>#REF!</v>
      </c>
      <c r="K150" s="104"/>
      <c r="L150" s="107"/>
    </row>
    <row r="151" spans="3:12" hidden="1">
      <c r="C151" s="102" t="s">
        <v>91</v>
      </c>
      <c r="D151" s="103"/>
      <c r="E151" s="105">
        <f>+'Izračun koefic.-klizna skala'!I33/100</f>
        <v>0</v>
      </c>
      <c r="F151" s="103">
        <f t="shared" si="8"/>
        <v>0</v>
      </c>
      <c r="G151" s="103"/>
      <c r="H151" s="103" t="e">
        <f t="shared" si="11"/>
        <v>#REF!</v>
      </c>
      <c r="I151" s="103">
        <f t="shared" si="9"/>
        <v>0</v>
      </c>
      <c r="J151" s="103" t="e">
        <f t="shared" si="10"/>
        <v>#REF!</v>
      </c>
      <c r="K151" s="103"/>
      <c r="L151" s="107"/>
    </row>
    <row r="152" spans="3:12" hidden="1">
      <c r="C152" s="101" t="s">
        <v>92</v>
      </c>
      <c r="D152" s="104"/>
      <c r="E152" s="106">
        <f>+'Izračun koefic.-klizna skala'!I34/100</f>
        <v>0</v>
      </c>
      <c r="F152" s="104">
        <f t="shared" si="8"/>
        <v>0</v>
      </c>
      <c r="G152" s="104"/>
      <c r="H152" s="104" t="e">
        <f t="shared" si="11"/>
        <v>#REF!</v>
      </c>
      <c r="I152" s="104">
        <f t="shared" si="9"/>
        <v>0</v>
      </c>
      <c r="J152" s="104" t="e">
        <f t="shared" si="10"/>
        <v>#REF!</v>
      </c>
      <c r="K152" s="104"/>
      <c r="L152" s="107"/>
    </row>
    <row r="153" spans="3:12" hidden="1">
      <c r="C153" s="102" t="s">
        <v>93</v>
      </c>
      <c r="D153" s="103"/>
      <c r="E153" s="105">
        <f>+'Izračun koefic.-klizna skala'!I35/100</f>
        <v>0</v>
      </c>
      <c r="F153" s="103">
        <f t="shared" si="8"/>
        <v>0</v>
      </c>
      <c r="G153" s="103"/>
      <c r="H153" s="103" t="e">
        <f t="shared" si="11"/>
        <v>#REF!</v>
      </c>
      <c r="I153" s="103">
        <f t="shared" si="9"/>
        <v>0</v>
      </c>
      <c r="J153" s="103" t="e">
        <f t="shared" si="10"/>
        <v>#REF!</v>
      </c>
      <c r="K153" s="103"/>
      <c r="L153" s="107"/>
    </row>
    <row r="154" spans="3:12" hidden="1">
      <c r="C154" s="101" t="s">
        <v>94</v>
      </c>
      <c r="D154" s="104"/>
      <c r="E154" s="106">
        <f>+'Izračun koefic.-klizna skala'!I36/100</f>
        <v>0</v>
      </c>
      <c r="F154" s="104">
        <f t="shared" si="8"/>
        <v>0</v>
      </c>
      <c r="G154" s="104"/>
      <c r="H154" s="104" t="e">
        <f t="shared" si="11"/>
        <v>#REF!</v>
      </c>
      <c r="I154" s="104">
        <f t="shared" si="9"/>
        <v>0</v>
      </c>
      <c r="J154" s="104" t="e">
        <f t="shared" si="10"/>
        <v>#REF!</v>
      </c>
      <c r="K154" s="104"/>
      <c r="L154" s="107"/>
    </row>
    <row r="155" spans="3:12" hidden="1">
      <c r="C155" s="102" t="s">
        <v>95</v>
      </c>
      <c r="D155" s="103"/>
      <c r="E155" s="105">
        <f>+'Izračun koefic.-klizna skala'!I37/100</f>
        <v>0</v>
      </c>
      <c r="F155" s="103">
        <f t="shared" si="8"/>
        <v>0</v>
      </c>
      <c r="G155" s="103"/>
      <c r="H155" s="103" t="e">
        <f t="shared" si="11"/>
        <v>#REF!</v>
      </c>
      <c r="I155" s="103">
        <f t="shared" si="9"/>
        <v>0</v>
      </c>
      <c r="J155" s="103" t="e">
        <f t="shared" si="10"/>
        <v>#REF!</v>
      </c>
      <c r="K155" s="103"/>
      <c r="L155" s="107"/>
    </row>
    <row r="156" spans="3:12" hidden="1">
      <c r="C156" s="101" t="s">
        <v>96</v>
      </c>
      <c r="D156" s="104"/>
      <c r="E156" s="106">
        <f>+'Izračun koefic.-klizna skala'!I38/100</f>
        <v>0</v>
      </c>
      <c r="F156" s="104">
        <f t="shared" si="8"/>
        <v>0</v>
      </c>
      <c r="G156" s="104"/>
      <c r="H156" s="104" t="e">
        <f t="shared" si="11"/>
        <v>#REF!</v>
      </c>
      <c r="I156" s="104">
        <f t="shared" si="9"/>
        <v>0</v>
      </c>
      <c r="J156" s="104" t="e">
        <f t="shared" si="10"/>
        <v>#REF!</v>
      </c>
      <c r="K156" s="104"/>
      <c r="L156" s="107"/>
    </row>
    <row r="157" spans="3:12" hidden="1">
      <c r="C157" s="102" t="s">
        <v>97</v>
      </c>
      <c r="D157" s="103"/>
      <c r="E157" s="105">
        <f>+'Izračun koefic.-klizna skala'!I39/100</f>
        <v>0</v>
      </c>
      <c r="F157" s="103">
        <f t="shared" si="8"/>
        <v>0</v>
      </c>
      <c r="G157" s="103"/>
      <c r="H157" s="103" t="e">
        <f t="shared" si="11"/>
        <v>#REF!</v>
      </c>
      <c r="I157" s="103">
        <f t="shared" si="9"/>
        <v>0</v>
      </c>
      <c r="J157" s="103" t="e">
        <f t="shared" si="10"/>
        <v>#REF!</v>
      </c>
      <c r="K157" s="103"/>
      <c r="L157" s="107"/>
    </row>
    <row r="158" spans="3:12" hidden="1">
      <c r="C158" s="101" t="s">
        <v>98</v>
      </c>
      <c r="D158" s="104"/>
      <c r="E158" s="106">
        <f>+'Izračun koefic.-klizna skala'!I40/100</f>
        <v>0</v>
      </c>
      <c r="F158" s="104">
        <f t="shared" si="8"/>
        <v>0</v>
      </c>
      <c r="G158" s="104"/>
      <c r="H158" s="104" t="e">
        <f t="shared" si="11"/>
        <v>#REF!</v>
      </c>
      <c r="I158" s="104">
        <f t="shared" si="9"/>
        <v>0</v>
      </c>
      <c r="J158" s="104" t="e">
        <f t="shared" si="10"/>
        <v>#REF!</v>
      </c>
      <c r="K158" s="104"/>
      <c r="L158" s="107"/>
    </row>
    <row r="159" spans="3:12" hidden="1">
      <c r="C159" s="102" t="s">
        <v>99</v>
      </c>
      <c r="D159" s="103"/>
      <c r="E159" s="105">
        <f>+'Izračun koefic.-klizna skala'!I41/100</f>
        <v>0</v>
      </c>
      <c r="F159" s="103">
        <f t="shared" si="8"/>
        <v>0</v>
      </c>
      <c r="G159" s="103"/>
      <c r="H159" s="103" t="e">
        <f t="shared" si="11"/>
        <v>#REF!</v>
      </c>
      <c r="I159" s="103">
        <f t="shared" si="9"/>
        <v>0</v>
      </c>
      <c r="J159" s="103" t="e">
        <f t="shared" si="10"/>
        <v>#REF!</v>
      </c>
      <c r="K159" s="103"/>
      <c r="L159" s="107"/>
    </row>
    <row r="160" spans="3:12" hidden="1">
      <c r="C160" s="101" t="s">
        <v>100</v>
      </c>
      <c r="D160" s="104"/>
      <c r="E160" s="106">
        <f>+'Izračun koefic.-klizna skala'!I42/100</f>
        <v>0</v>
      </c>
      <c r="F160" s="104">
        <f t="shared" si="8"/>
        <v>0</v>
      </c>
      <c r="G160" s="104"/>
      <c r="H160" s="104" t="e">
        <f t="shared" si="11"/>
        <v>#REF!</v>
      </c>
      <c r="I160" s="104">
        <f t="shared" si="9"/>
        <v>0</v>
      </c>
      <c r="J160" s="104" t="e">
        <f t="shared" si="10"/>
        <v>#REF!</v>
      </c>
      <c r="K160" s="104"/>
      <c r="L160" s="107"/>
    </row>
    <row r="161" spans="3:12" hidden="1">
      <c r="C161" s="130" t="s">
        <v>293</v>
      </c>
      <c r="D161" s="129"/>
      <c r="E161" s="132">
        <f>+'Izračun koefic.-klizna skala'!I43/100</f>
        <v>0</v>
      </c>
      <c r="F161" s="129">
        <f t="shared" si="8"/>
        <v>0</v>
      </c>
      <c r="G161" s="129"/>
      <c r="H161" s="129" t="e">
        <f t="shared" ref="H161" si="12">+E161/E$123*G161</f>
        <v>#REF!</v>
      </c>
      <c r="I161" s="129">
        <f t="shared" ref="I161" si="13">+G161+D161</f>
        <v>0</v>
      </c>
      <c r="J161" s="129" t="e">
        <f t="shared" ref="J161" si="14">+H161+F161</f>
        <v>#REF!</v>
      </c>
      <c r="K161" s="129"/>
      <c r="L161" s="107"/>
    </row>
    <row r="162" spans="3:12" hidden="1">
      <c r="C162" s="131" t="s">
        <v>294</v>
      </c>
      <c r="D162" s="104"/>
      <c r="E162" s="106"/>
      <c r="F162" s="104"/>
      <c r="G162" s="104"/>
      <c r="H162" s="104"/>
      <c r="I162" s="104"/>
      <c r="J162" s="104"/>
      <c r="K162" s="104"/>
      <c r="L162" s="107"/>
    </row>
    <row r="163" spans="3:12" hidden="1">
      <c r="J163" s="109" t="s">
        <v>101</v>
      </c>
      <c r="L163" s="107"/>
    </row>
    <row r="164" spans="3:12" hidden="1">
      <c r="C164" s="120"/>
      <c r="D164" s="120"/>
      <c r="E164" s="33"/>
      <c r="I164" s="109">
        <f>SUM(I124:I163)</f>
        <v>0</v>
      </c>
      <c r="K164" s="133"/>
      <c r="L164" s="107"/>
    </row>
    <row r="165" spans="3:12" hidden="1">
      <c r="C165" s="121"/>
      <c r="D165" s="121"/>
      <c r="E165" s="122"/>
      <c r="L165" s="107"/>
    </row>
  </sheetData>
  <sheetProtection algorithmName="SHA-512" hashValue="IDcApKcU1sOCFapkoaazNlshg6YiOFjoDNohIU0qyQK2dbxBAske1peFV/F988q7WMJTjflNBDPJbTaOK3reUg==" saltValue="Z2WRTTpMPzCgGOx6jt1vyA==" spinCount="100000" sheet="1" formatCells="0" formatColumns="0" formatRows="0" insertColumns="0" insertRows="0" insertHyperlinks="0" deleteColumns="0" deleteRows="0" sort="0" autoFilter="0" pivotTables="0"/>
  <mergeCells count="4">
    <mergeCell ref="C6:D6"/>
    <mergeCell ref="C7:D7"/>
    <mergeCell ref="C4:K5"/>
    <mergeCell ref="D2:K2"/>
  </mergeCells>
  <pageMargins left="0.7" right="0.7" top="0.75" bottom="0.75" header="0.3" footer="0.3"/>
  <pageSetup paperSize="9" scale="85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1:Q49"/>
  <sheetViews>
    <sheetView view="pageBreakPreview" topLeftCell="B13" zoomScaleNormal="100" zoomScaleSheetLayoutView="100" workbookViewId="0">
      <selection activeCell="I44" sqref="I44"/>
    </sheetView>
  </sheetViews>
  <sheetFormatPr defaultColWidth="8.85546875" defaultRowHeight="15"/>
  <cols>
    <col min="1" max="1" width="3.28515625" hidden="1" customWidth="1"/>
    <col min="2" max="2" width="11.28515625" customWidth="1"/>
    <col min="3" max="3" width="46.28515625" style="16" customWidth="1"/>
    <col min="4" max="4" width="11" customWidth="1"/>
    <col min="5" max="5" width="9" customWidth="1"/>
    <col min="6" max="8" width="9.140625" customWidth="1"/>
    <col min="9" max="11" width="8.7109375" style="45" customWidth="1"/>
    <col min="12" max="12" width="11.42578125" customWidth="1"/>
    <col min="13" max="13" width="9.42578125" bestFit="1" customWidth="1"/>
  </cols>
  <sheetData>
    <row r="1" spans="2:13">
      <c r="B1" s="175"/>
      <c r="C1" s="176"/>
      <c r="D1" s="177"/>
      <c r="E1" s="177"/>
      <c r="F1" s="177"/>
      <c r="G1" s="177"/>
      <c r="H1" s="177"/>
      <c r="I1" s="58"/>
      <c r="J1" s="58"/>
      <c r="K1" s="178"/>
    </row>
    <row r="2" spans="2:13" ht="18.75">
      <c r="B2" s="969" t="s">
        <v>353</v>
      </c>
      <c r="C2" s="970"/>
      <c r="D2" s="970"/>
      <c r="E2" s="970"/>
      <c r="F2" s="970"/>
      <c r="G2" s="970"/>
      <c r="H2" s="970"/>
      <c r="I2" s="970"/>
      <c r="J2" s="970"/>
      <c r="K2" s="971"/>
    </row>
    <row r="3" spans="2:13" ht="15.75" thickBot="1">
      <c r="B3" s="179"/>
      <c r="C3" s="1"/>
      <c r="D3" s="2"/>
      <c r="E3" s="3"/>
      <c r="F3" s="3"/>
      <c r="G3" s="3"/>
      <c r="H3" s="180"/>
      <c r="I3" s="180"/>
      <c r="J3" s="180"/>
      <c r="K3" s="181"/>
    </row>
    <row r="4" spans="2:13" ht="15.75" thickBot="1">
      <c r="B4" s="125" t="s">
        <v>278</v>
      </c>
      <c r="C4" s="870" t="s">
        <v>0</v>
      </c>
      <c r="D4" s="871"/>
      <c r="E4" s="871"/>
      <c r="F4" s="871"/>
      <c r="G4" s="871"/>
      <c r="H4" s="871"/>
      <c r="I4" s="871"/>
      <c r="J4" s="41"/>
      <c r="K4" s="151"/>
    </row>
    <row r="5" spans="2:13" ht="25.5" hidden="1" customHeight="1" thickBot="1">
      <c r="B5" s="56" t="s">
        <v>7</v>
      </c>
      <c r="C5" s="872" t="s">
        <v>277</v>
      </c>
      <c r="D5" s="873"/>
      <c r="E5" s="873"/>
      <c r="F5" s="873"/>
      <c r="G5" s="873"/>
      <c r="H5" s="873"/>
      <c r="I5" s="873"/>
      <c r="J5" s="873"/>
      <c r="K5" s="124" t="s">
        <v>15</v>
      </c>
    </row>
    <row r="6" spans="2:13" ht="25.5" hidden="1" customHeight="1" thickBot="1">
      <c r="B6" s="56" t="s">
        <v>279</v>
      </c>
      <c r="C6" s="874" t="s">
        <v>9</v>
      </c>
      <c r="D6" s="873"/>
      <c r="E6" s="873"/>
      <c r="F6" s="873"/>
      <c r="G6" s="873"/>
      <c r="H6" s="873"/>
      <c r="I6" s="873"/>
      <c r="J6" s="873"/>
      <c r="K6" s="57" t="s">
        <v>8</v>
      </c>
    </row>
    <row r="7" spans="2:13" ht="15.75" thickBot="1">
      <c r="B7" s="152"/>
      <c r="C7" s="4"/>
      <c r="D7" s="5"/>
      <c r="E7" s="6"/>
      <c r="F7" s="6"/>
      <c r="G7" s="6"/>
      <c r="H7" s="153"/>
      <c r="I7" s="865" t="s">
        <v>356</v>
      </c>
      <c r="J7" s="866"/>
      <c r="K7" s="867"/>
    </row>
    <row r="8" spans="2:13" ht="15" customHeight="1" thickBot="1">
      <c r="B8" s="977" t="s">
        <v>2</v>
      </c>
      <c r="C8" s="978"/>
      <c r="D8" s="987" t="s">
        <v>24</v>
      </c>
      <c r="E8" s="989" t="s">
        <v>26</v>
      </c>
      <c r="F8" s="972" t="s">
        <v>25</v>
      </c>
      <c r="G8" s="972" t="s">
        <v>27</v>
      </c>
      <c r="H8" s="972" t="s">
        <v>28</v>
      </c>
      <c r="I8" s="974" t="s">
        <v>3</v>
      </c>
      <c r="J8" s="975"/>
      <c r="K8" s="976"/>
    </row>
    <row r="9" spans="2:13" ht="33.75" customHeight="1" thickBot="1">
      <c r="B9" s="979"/>
      <c r="C9" s="980"/>
      <c r="D9" s="988"/>
      <c r="E9" s="990"/>
      <c r="F9" s="973"/>
      <c r="G9" s="973"/>
      <c r="H9" s="973"/>
      <c r="I9" s="52" t="s">
        <v>4</v>
      </c>
      <c r="J9" s="53" t="s">
        <v>45</v>
      </c>
      <c r="K9" s="53" t="s">
        <v>30</v>
      </c>
    </row>
    <row r="10" spans="2:13">
      <c r="B10" s="17" t="s">
        <v>7</v>
      </c>
      <c r="C10" s="18" t="s">
        <v>29</v>
      </c>
      <c r="D10" s="19"/>
      <c r="E10" s="20"/>
      <c r="F10" s="20"/>
      <c r="G10" s="21"/>
      <c r="H10" s="21"/>
      <c r="I10" s="42"/>
      <c r="J10" s="42"/>
      <c r="K10" s="42"/>
    </row>
    <row r="11" spans="2:13" ht="54" customHeight="1">
      <c r="B11" s="31"/>
      <c r="C11" s="154" t="s">
        <v>301</v>
      </c>
      <c r="D11" s="39">
        <v>299836.94</v>
      </c>
      <c r="E11" s="39">
        <v>3040</v>
      </c>
      <c r="F11" s="39">
        <f>D11/E11*8</f>
        <v>789.04457894736845</v>
      </c>
      <c r="G11" s="39">
        <v>0.7</v>
      </c>
      <c r="H11" s="39">
        <f>F11*G11</f>
        <v>552.33120526315793</v>
      </c>
      <c r="I11" s="40">
        <f>+H11</f>
        <v>552.33120526315793</v>
      </c>
      <c r="J11" s="40"/>
      <c r="K11" s="40"/>
      <c r="L11" s="8"/>
      <c r="M11" s="8"/>
    </row>
    <row r="12" spans="2:13" ht="18" customHeight="1">
      <c r="B12" s="31"/>
      <c r="C12" s="154" t="s">
        <v>349</v>
      </c>
      <c r="D12" s="39"/>
      <c r="E12" s="39">
        <f>(25+13)/261</f>
        <v>0.14559386973180077</v>
      </c>
      <c r="F12" s="39">
        <f>+F11</f>
        <v>789.04457894736845</v>
      </c>
      <c r="G12" s="158">
        <v>0.7</v>
      </c>
      <c r="H12" s="39">
        <f>+E12*F12*G12</f>
        <v>80.416037547892714</v>
      </c>
      <c r="I12" s="40">
        <f>+H12</f>
        <v>80.416037547892714</v>
      </c>
      <c r="J12" s="40"/>
      <c r="K12" s="40"/>
      <c r="L12" s="8"/>
      <c r="M12" s="8"/>
    </row>
    <row r="13" spans="2:13">
      <c r="B13" s="9"/>
      <c r="C13" s="154" t="s">
        <v>296</v>
      </c>
      <c r="D13" s="39"/>
      <c r="E13" s="39">
        <f>+(4*7*22*1.5+12*4.2*10*1.5)/(12*176)*0.25</f>
        <v>0.19886363636363635</v>
      </c>
      <c r="F13" s="39">
        <f>+F11*1.3</f>
        <v>1025.757952631579</v>
      </c>
      <c r="G13" s="39">
        <v>0</v>
      </c>
      <c r="H13" s="39">
        <f>+E13*F13*G13</f>
        <v>0</v>
      </c>
      <c r="I13" s="40">
        <f>+H13</f>
        <v>0</v>
      </c>
      <c r="J13" s="40"/>
      <c r="K13" s="40"/>
      <c r="L13" s="8"/>
      <c r="M13" s="39"/>
    </row>
    <row r="14" spans="2:13">
      <c r="B14" s="7"/>
      <c r="C14" s="154" t="s">
        <v>360</v>
      </c>
      <c r="D14" s="155"/>
      <c r="E14" s="155"/>
      <c r="F14" s="155"/>
      <c r="G14" s="39"/>
      <c r="H14" s="39"/>
      <c r="I14" s="43"/>
      <c r="J14" s="43"/>
      <c r="K14" s="43"/>
      <c r="L14" s="8"/>
      <c r="M14" s="8"/>
    </row>
    <row r="15" spans="2:13">
      <c r="B15" s="9"/>
      <c r="C15" s="157" t="s">
        <v>357</v>
      </c>
      <c r="D15" s="155">
        <v>5000</v>
      </c>
      <c r="E15" s="155"/>
      <c r="F15" s="155">
        <f>+D15/(22*12)</f>
        <v>18.939393939393938</v>
      </c>
      <c r="G15" s="39">
        <v>1</v>
      </c>
      <c r="H15" s="39">
        <f>+G15*F15</f>
        <v>18.939393939393938</v>
      </c>
      <c r="I15" s="43">
        <f>+H15</f>
        <v>18.939393939393938</v>
      </c>
      <c r="J15" s="43"/>
      <c r="K15" s="43"/>
      <c r="L15" s="8"/>
      <c r="M15" s="8"/>
    </row>
    <row r="16" spans="2:13">
      <c r="B16" s="9"/>
      <c r="C16" s="157" t="s">
        <v>358</v>
      </c>
      <c r="D16" s="155">
        <v>360</v>
      </c>
      <c r="E16" s="155"/>
      <c r="F16" s="155">
        <f t="shared" ref="F16" si="0">+D16/22</f>
        <v>16.363636363636363</v>
      </c>
      <c r="G16" s="39">
        <v>1</v>
      </c>
      <c r="H16" s="39">
        <f t="shared" ref="H16:H18" si="1">+G16*F16</f>
        <v>16.363636363636363</v>
      </c>
      <c r="I16" s="43">
        <f>+H16</f>
        <v>16.363636363636363</v>
      </c>
      <c r="J16" s="43"/>
      <c r="K16" s="43"/>
      <c r="L16" s="8"/>
      <c r="M16" s="8"/>
    </row>
    <row r="17" spans="2:13">
      <c r="B17" s="9"/>
      <c r="C17" s="157" t="s">
        <v>359</v>
      </c>
      <c r="D17" s="155">
        <v>2500</v>
      </c>
      <c r="E17" s="155"/>
      <c r="F17" s="155">
        <f>+D17/(22*12)</f>
        <v>9.4696969696969688</v>
      </c>
      <c r="G17" s="39">
        <v>1</v>
      </c>
      <c r="H17" s="39">
        <f t="shared" si="1"/>
        <v>9.4696969696969688</v>
      </c>
      <c r="I17" s="43">
        <f>+H17</f>
        <v>9.4696969696969688</v>
      </c>
      <c r="J17" s="43"/>
      <c r="K17" s="43"/>
      <c r="L17" s="8"/>
      <c r="M17" s="8"/>
    </row>
    <row r="18" spans="2:13">
      <c r="B18" s="9"/>
      <c r="C18" s="157" t="s">
        <v>352</v>
      </c>
      <c r="D18" s="155">
        <v>5000</v>
      </c>
      <c r="E18" s="155"/>
      <c r="F18" s="155">
        <f>+D18/(22*12)</f>
        <v>18.939393939393938</v>
      </c>
      <c r="G18" s="39">
        <v>1</v>
      </c>
      <c r="H18" s="39">
        <f t="shared" si="1"/>
        <v>18.939393939393938</v>
      </c>
      <c r="I18" s="43">
        <f>+H18</f>
        <v>18.939393939393938</v>
      </c>
      <c r="J18" s="43"/>
      <c r="K18" s="43"/>
      <c r="L18" s="8"/>
      <c r="M18" s="8"/>
    </row>
    <row r="19" spans="2:13">
      <c r="B19" s="9"/>
      <c r="C19" s="154"/>
      <c r="D19" s="155"/>
      <c r="E19" s="155"/>
      <c r="F19" s="155"/>
      <c r="G19" s="155"/>
      <c r="H19" s="39"/>
      <c r="I19" s="43"/>
      <c r="J19" s="43"/>
      <c r="K19" s="43"/>
      <c r="L19" s="8"/>
      <c r="M19" s="8"/>
    </row>
    <row r="20" spans="2:13" ht="15.75" thickBot="1">
      <c r="B20" s="9"/>
      <c r="C20" s="154" t="s">
        <v>32</v>
      </c>
      <c r="D20" s="155"/>
      <c r="E20" s="155"/>
      <c r="F20" s="155"/>
      <c r="G20" s="155"/>
      <c r="H20" s="158">
        <f>200/2</f>
        <v>100</v>
      </c>
      <c r="I20" s="43">
        <f>+H20</f>
        <v>100</v>
      </c>
      <c r="J20" s="43"/>
      <c r="K20" s="43"/>
      <c r="L20" s="8"/>
      <c r="M20" s="8"/>
    </row>
    <row r="21" spans="2:13">
      <c r="B21" s="17" t="s">
        <v>5</v>
      </c>
      <c r="C21" s="18" t="s">
        <v>347</v>
      </c>
      <c r="D21" s="183"/>
      <c r="E21" s="183"/>
      <c r="F21" s="183"/>
      <c r="G21" s="183"/>
      <c r="H21" s="183"/>
      <c r="I21" s="184"/>
      <c r="J21" s="184"/>
      <c r="K21" s="184"/>
      <c r="L21" s="8"/>
      <c r="M21" s="8"/>
    </row>
    <row r="22" spans="2:13">
      <c r="B22" s="9"/>
      <c r="C22" s="159" t="s">
        <v>354</v>
      </c>
      <c r="D22" s="155">
        <v>0</v>
      </c>
      <c r="E22" s="155"/>
      <c r="F22" s="155">
        <f>+D22/(22*12)</f>
        <v>0</v>
      </c>
      <c r="G22" s="160"/>
      <c r="H22" s="150">
        <f>+F22</f>
        <v>0</v>
      </c>
      <c r="I22" s="43"/>
      <c r="J22" s="43"/>
      <c r="K22" s="43">
        <f>+H22</f>
        <v>0</v>
      </c>
      <c r="L22" s="8"/>
      <c r="M22" s="8"/>
    </row>
    <row r="23" spans="2:13">
      <c r="B23" s="9"/>
      <c r="C23" s="154" t="s">
        <v>302</v>
      </c>
      <c r="D23" s="155">
        <v>18230.55</v>
      </c>
      <c r="E23" s="155"/>
      <c r="F23" s="155">
        <f>+D23/(22*12)</f>
        <v>69.055113636363629</v>
      </c>
      <c r="G23" s="39"/>
      <c r="H23" s="39">
        <f>+F23</f>
        <v>69.055113636363629</v>
      </c>
      <c r="I23" s="43"/>
      <c r="J23" s="43"/>
      <c r="K23" s="43">
        <f>+H23</f>
        <v>69.055113636363629</v>
      </c>
      <c r="L23" s="8"/>
      <c r="M23" s="8"/>
    </row>
    <row r="24" spans="2:13">
      <c r="B24" s="9"/>
      <c r="C24" s="154" t="s">
        <v>303</v>
      </c>
      <c r="D24" s="128">
        <f>(49524*0.001*7.5345)*17</f>
        <v>6343.3558260000009</v>
      </c>
      <c r="E24" s="155"/>
      <c r="F24" s="155">
        <f>+D24/(22*24)</f>
        <v>12.013931488636365</v>
      </c>
      <c r="G24" s="39"/>
      <c r="H24" s="155">
        <f>+F24</f>
        <v>12.013931488636365</v>
      </c>
      <c r="I24" s="43"/>
      <c r="J24" s="43"/>
      <c r="K24" s="43">
        <f>+H24</f>
        <v>12.013931488636365</v>
      </c>
      <c r="L24" s="8"/>
      <c r="M24" s="8"/>
    </row>
    <row r="25" spans="2:13">
      <c r="B25" s="9"/>
      <c r="C25" s="154"/>
      <c r="D25" s="128"/>
      <c r="E25" s="155"/>
      <c r="F25" s="155"/>
      <c r="G25" s="155"/>
      <c r="H25" s="155"/>
      <c r="I25" s="43"/>
      <c r="J25" s="43"/>
      <c r="K25" s="43"/>
      <c r="L25" s="8"/>
      <c r="M25" s="8"/>
    </row>
    <row r="26" spans="2:13" ht="15.75" thickBot="1">
      <c r="B26" s="10" t="s">
        <v>6</v>
      </c>
      <c r="C26" s="11" t="s">
        <v>351</v>
      </c>
      <c r="D26" s="12"/>
      <c r="E26" s="13"/>
      <c r="F26" s="13"/>
      <c r="G26" s="13"/>
      <c r="H26" s="14"/>
      <c r="I26" s="44"/>
      <c r="J26" s="44"/>
      <c r="K26" s="44"/>
    </row>
    <row r="27" spans="2:13">
      <c r="B27" s="977" t="s">
        <v>2</v>
      </c>
      <c r="C27" s="978"/>
      <c r="D27" s="981" t="s">
        <v>34</v>
      </c>
      <c r="E27" s="982"/>
      <c r="F27" s="972" t="s">
        <v>35</v>
      </c>
      <c r="G27" s="985" t="s">
        <v>36</v>
      </c>
      <c r="H27" s="982"/>
      <c r="I27" s="50"/>
      <c r="J27" s="50"/>
      <c r="K27" s="50"/>
    </row>
    <row r="28" spans="2:13" ht="15.75" thickBot="1">
      <c r="B28" s="979"/>
      <c r="C28" s="980"/>
      <c r="D28" s="983"/>
      <c r="E28" s="984"/>
      <c r="F28" s="973"/>
      <c r="G28" s="986"/>
      <c r="H28" s="984"/>
      <c r="I28" s="47"/>
      <c r="J28" s="48"/>
      <c r="K28" s="49"/>
    </row>
    <row r="29" spans="2:13" ht="38.25">
      <c r="B29" s="46" t="s">
        <v>31</v>
      </c>
      <c r="C29" s="185" t="s">
        <v>33</v>
      </c>
      <c r="D29" s="998">
        <v>128</v>
      </c>
      <c r="E29" s="999"/>
      <c r="F29" s="39">
        <f>'Podanaliza-auto-11-20'!G30</f>
        <v>0</v>
      </c>
      <c r="G29" s="998">
        <f>D29*F29</f>
        <v>0</v>
      </c>
      <c r="H29" s="1000"/>
      <c r="I29" s="40"/>
      <c r="J29" s="40">
        <f>G29</f>
        <v>0</v>
      </c>
      <c r="K29" s="40"/>
    </row>
    <row r="30" spans="2:13">
      <c r="B30" s="24"/>
      <c r="C30" s="159"/>
      <c r="D30" s="182"/>
      <c r="E30" s="156"/>
      <c r="F30" s="156"/>
      <c r="G30" s="156"/>
      <c r="H30" s="161"/>
      <c r="I30" s="43"/>
      <c r="J30" s="43"/>
      <c r="K30" s="43"/>
    </row>
    <row r="31" spans="2:13">
      <c r="B31" s="142" t="s">
        <v>304</v>
      </c>
      <c r="C31" s="162"/>
      <c r="D31" s="163"/>
      <c r="E31" s="164"/>
      <c r="F31" s="164"/>
      <c r="G31" s="164"/>
      <c r="H31" s="165"/>
      <c r="I31" s="140">
        <f>SUM(I10:I30)</f>
        <v>796.45936402317193</v>
      </c>
      <c r="J31" s="140">
        <f>+J29</f>
        <v>0</v>
      </c>
      <c r="K31" s="140">
        <f>SUM(K10:K30)</f>
        <v>81.069045124999988</v>
      </c>
    </row>
    <row r="32" spans="2:13" ht="15.75" thickBot="1">
      <c r="B32" s="10" t="s">
        <v>348</v>
      </c>
      <c r="C32" s="11" t="s">
        <v>307</v>
      </c>
      <c r="D32" s="12"/>
      <c r="E32" s="13"/>
      <c r="F32" s="13"/>
      <c r="G32" s="13"/>
      <c r="H32" s="14"/>
      <c r="I32" s="44"/>
      <c r="J32" s="44"/>
      <c r="K32" s="44"/>
    </row>
    <row r="33" spans="2:17" ht="14.45" customHeight="1">
      <c r="B33" s="977" t="s">
        <v>2</v>
      </c>
      <c r="C33" s="978"/>
      <c r="D33" s="981" t="s">
        <v>44</v>
      </c>
      <c r="E33" s="985" t="s">
        <v>47</v>
      </c>
      <c r="F33" s="1002"/>
      <c r="G33" s="985" t="s">
        <v>350</v>
      </c>
      <c r="H33" s="982"/>
      <c r="I33" s="43"/>
      <c r="J33" s="43"/>
      <c r="K33" s="43"/>
    </row>
    <row r="34" spans="2:17" ht="15.75" thickBot="1">
      <c r="B34" s="979"/>
      <c r="C34" s="980"/>
      <c r="D34" s="1001"/>
      <c r="E34" s="1003"/>
      <c r="F34" s="1004"/>
      <c r="G34" s="986"/>
      <c r="H34" s="971"/>
      <c r="I34" s="43"/>
      <c r="J34" s="43"/>
      <c r="K34" s="43"/>
    </row>
    <row r="35" spans="2:17">
      <c r="B35" s="23"/>
      <c r="C35" s="22" t="s">
        <v>50</v>
      </c>
      <c r="D35" s="61">
        <v>26634</v>
      </c>
      <c r="E35" s="58"/>
      <c r="F35" s="155">
        <f>261-25-13</f>
        <v>223</v>
      </c>
      <c r="G35" s="58"/>
      <c r="H35" s="148">
        <f>3040/176-2</f>
        <v>15.272727272727273</v>
      </c>
      <c r="I35" s="43"/>
      <c r="J35" s="43"/>
      <c r="K35" s="43">
        <f>+D35/F35/H35</f>
        <v>7.8201473414477896</v>
      </c>
      <c r="L35" s="59"/>
      <c r="M35" s="62"/>
      <c r="N35" s="45"/>
      <c r="O35" s="128"/>
      <c r="P35" s="45"/>
      <c r="Q35" s="119"/>
    </row>
    <row r="36" spans="2:17">
      <c r="B36" s="23"/>
      <c r="C36" s="159" t="s">
        <v>37</v>
      </c>
      <c r="D36" s="62">
        <v>107179</v>
      </c>
      <c r="E36" s="62"/>
      <c r="F36" s="155">
        <f t="shared" ref="F36:F40" si="2">261-25-13</f>
        <v>223</v>
      </c>
      <c r="G36" s="45"/>
      <c r="H36" s="149">
        <f t="shared" ref="H36:H41" si="3">3040/176-2</f>
        <v>15.272727272727273</v>
      </c>
      <c r="I36" s="43"/>
      <c r="J36" s="43"/>
      <c r="K36" s="43">
        <f t="shared" ref="K36:K40" si="4">+D36/F36/H36</f>
        <v>31.469383941917574</v>
      </c>
      <c r="L36" s="59"/>
      <c r="M36" s="62"/>
      <c r="N36" s="62"/>
      <c r="O36" s="128"/>
      <c r="P36" s="45"/>
      <c r="Q36" s="118"/>
    </row>
    <row r="37" spans="2:17">
      <c r="B37" s="15"/>
      <c r="C37" s="166" t="s">
        <v>38</v>
      </c>
      <c r="D37" s="161">
        <v>59680</v>
      </c>
      <c r="E37" s="161"/>
      <c r="F37" s="155">
        <f t="shared" si="2"/>
        <v>223</v>
      </c>
      <c r="G37" s="45"/>
      <c r="H37" s="149">
        <f t="shared" si="3"/>
        <v>15.272727272727273</v>
      </c>
      <c r="I37" s="43"/>
      <c r="J37" s="43"/>
      <c r="K37" s="43">
        <f t="shared" si="4"/>
        <v>17.522955370489004</v>
      </c>
      <c r="L37" s="59"/>
      <c r="M37" s="62"/>
      <c r="N37" s="62"/>
      <c r="O37" s="128"/>
      <c r="P37" s="45"/>
      <c r="Q37" s="118"/>
    </row>
    <row r="38" spans="2:17">
      <c r="B38" s="23"/>
      <c r="C38" s="159" t="s">
        <v>39</v>
      </c>
      <c r="D38" s="161">
        <v>93648</v>
      </c>
      <c r="E38" s="161"/>
      <c r="F38" s="155">
        <f t="shared" si="2"/>
        <v>223</v>
      </c>
      <c r="G38" s="45"/>
      <c r="H38" s="149">
        <f t="shared" si="3"/>
        <v>15.272727272727273</v>
      </c>
      <c r="I38" s="43"/>
      <c r="J38" s="43"/>
      <c r="K38" s="43">
        <f t="shared" si="4"/>
        <v>27.496476617552847</v>
      </c>
      <c r="L38" s="60"/>
      <c r="M38" s="62"/>
      <c r="N38" s="62"/>
      <c r="O38" s="128"/>
      <c r="P38" s="45"/>
      <c r="Q38" s="118"/>
    </row>
    <row r="39" spans="2:17">
      <c r="B39" s="23"/>
      <c r="C39" s="159" t="s">
        <v>40</v>
      </c>
      <c r="D39" s="161">
        <f>268974+62406</f>
        <v>331380</v>
      </c>
      <c r="E39" s="161"/>
      <c r="F39" s="155">
        <f t="shared" si="2"/>
        <v>223</v>
      </c>
      <c r="G39" s="45"/>
      <c r="H39" s="149">
        <f t="shared" si="3"/>
        <v>15.272727272727273</v>
      </c>
      <c r="I39" s="43"/>
      <c r="J39" s="43"/>
      <c r="K39" s="43">
        <f t="shared" si="4"/>
        <v>97.298206278026896</v>
      </c>
      <c r="L39" s="60"/>
      <c r="M39" s="62"/>
      <c r="N39" s="62"/>
      <c r="O39" s="128"/>
      <c r="P39" s="45"/>
      <c r="Q39" s="118"/>
    </row>
    <row r="40" spans="2:17" ht="26.25">
      <c r="B40" s="15"/>
      <c r="C40" s="166" t="s">
        <v>41</v>
      </c>
      <c r="D40" s="161">
        <v>57053</v>
      </c>
      <c r="E40" s="161"/>
      <c r="F40" s="155">
        <f t="shared" si="2"/>
        <v>223</v>
      </c>
      <c r="G40" s="45"/>
      <c r="H40" s="149">
        <f t="shared" si="3"/>
        <v>15.272727272727273</v>
      </c>
      <c r="I40" s="43"/>
      <c r="J40" s="43"/>
      <c r="K40" s="43">
        <f t="shared" si="4"/>
        <v>16.751628229767242</v>
      </c>
      <c r="L40" s="60"/>
      <c r="M40" s="62"/>
      <c r="N40" s="62"/>
      <c r="O40" s="128"/>
      <c r="P40" s="45"/>
      <c r="Q40" s="118"/>
    </row>
    <row r="41" spans="2:17">
      <c r="B41" s="15"/>
      <c r="C41" s="159" t="s">
        <v>300</v>
      </c>
      <c r="D41" s="161">
        <f>+D11/E11*8*0.7</f>
        <v>552.33120526315793</v>
      </c>
      <c r="E41" s="45"/>
      <c r="F41" s="155">
        <v>1</v>
      </c>
      <c r="G41" s="161"/>
      <c r="H41" s="149">
        <f t="shared" si="3"/>
        <v>15.272727272727273</v>
      </c>
      <c r="I41" s="43">
        <f>+D41/H41</f>
        <v>36.164543201754384</v>
      </c>
      <c r="J41" s="43"/>
      <c r="K41" s="43"/>
      <c r="L41" s="60"/>
      <c r="M41" s="62"/>
      <c r="N41" s="62"/>
      <c r="O41" s="128"/>
      <c r="P41" s="45"/>
      <c r="Q41" s="118"/>
    </row>
    <row r="42" spans="2:17">
      <c r="B42" s="15"/>
      <c r="C42" s="159" t="s">
        <v>305</v>
      </c>
      <c r="D42" s="167"/>
      <c r="E42" s="45"/>
      <c r="F42" s="155"/>
      <c r="G42" s="991"/>
      <c r="H42" s="992"/>
      <c r="I42" s="43"/>
      <c r="J42" s="43"/>
      <c r="K42" s="43">
        <f>+(I31+J31+K31+K35+K36+K37+K38+K39+K40+I41)*0.05</f>
        <v>55.602587506456388</v>
      </c>
      <c r="L42" s="60"/>
      <c r="M42" s="62"/>
      <c r="N42" s="62"/>
      <c r="O42" s="128"/>
      <c r="P42" s="45"/>
      <c r="Q42" s="118"/>
    </row>
    <row r="43" spans="2:17">
      <c r="B43" s="15"/>
      <c r="C43" s="159"/>
      <c r="D43" s="155"/>
      <c r="E43" s="45"/>
      <c r="F43" s="161"/>
      <c r="G43" s="993"/>
      <c r="H43" s="994"/>
      <c r="I43" s="43"/>
      <c r="J43" s="43"/>
      <c r="K43" s="43"/>
    </row>
    <row r="44" spans="2:17" ht="15.75" thickBot="1">
      <c r="B44" s="15"/>
      <c r="C44" s="159"/>
      <c r="D44" s="155"/>
      <c r="E44" s="45"/>
      <c r="F44" s="161"/>
      <c r="G44" s="155"/>
      <c r="H44" s="51"/>
      <c r="I44" s="43"/>
      <c r="J44" s="43"/>
      <c r="K44" s="43"/>
    </row>
    <row r="45" spans="2:17" ht="15.75" thickBot="1">
      <c r="B45" s="25"/>
      <c r="C45" s="26"/>
      <c r="D45" s="27"/>
      <c r="E45" s="28"/>
      <c r="F45" s="28"/>
      <c r="G45" s="28"/>
      <c r="H45" s="29"/>
      <c r="I45" s="30">
        <f>SUM(I31:I43)</f>
        <v>832.62390722492637</v>
      </c>
      <c r="J45" s="30">
        <f>+J31</f>
        <v>0</v>
      </c>
      <c r="K45" s="30">
        <f>SUM(K35:K42)+K31</f>
        <v>335.03043041065774</v>
      </c>
    </row>
    <row r="46" spans="2:17" ht="15.75" thickBot="1">
      <c r="B46" s="141" t="s">
        <v>306</v>
      </c>
      <c r="C46" s="26"/>
      <c r="D46" s="27"/>
      <c r="E46" s="28"/>
      <c r="F46" s="65"/>
      <c r="G46" s="28"/>
      <c r="H46" s="29"/>
      <c r="I46" s="63"/>
      <c r="J46" s="64">
        <f>+I31+J31+K31</f>
        <v>877.52840914817193</v>
      </c>
      <c r="K46" s="168">
        <f>+J46/J48</f>
        <v>0.75153098041420707</v>
      </c>
    </row>
    <row r="47" spans="2:17" ht="15.75" thickBot="1">
      <c r="B47" s="141" t="s">
        <v>307</v>
      </c>
      <c r="C47" s="26"/>
      <c r="D47" s="27"/>
      <c r="E47" s="28"/>
      <c r="F47" s="65"/>
      <c r="G47" s="28"/>
      <c r="H47" s="29"/>
      <c r="I47" s="63"/>
      <c r="J47" s="64">
        <f>+K45-K31+I41</f>
        <v>290.12592848741212</v>
      </c>
      <c r="K47" s="168">
        <f>+J47/J48</f>
        <v>0.24846901958579307</v>
      </c>
    </row>
    <row r="48" spans="2:17" ht="15.75" customHeight="1" thickBot="1">
      <c r="B48" s="995" t="s">
        <v>355</v>
      </c>
      <c r="C48" s="996"/>
      <c r="D48" s="996"/>
      <c r="E48" s="996"/>
      <c r="F48" s="996"/>
      <c r="G48" s="996"/>
      <c r="H48" s="997"/>
      <c r="I48" s="54"/>
      <c r="J48" s="55">
        <f>+J46+J47</f>
        <v>1167.6543376355839</v>
      </c>
      <c r="K48" s="169"/>
    </row>
    <row r="49" spans="2:11" ht="15.75" thickBot="1">
      <c r="B49" s="170" t="s">
        <v>48</v>
      </c>
      <c r="C49" s="171"/>
      <c r="D49" s="172"/>
      <c r="E49" s="172"/>
      <c r="F49" s="172"/>
      <c r="G49" s="172"/>
      <c r="H49" s="172"/>
      <c r="I49" s="173"/>
      <c r="J49" s="173"/>
      <c r="K49" s="174"/>
    </row>
  </sheetData>
  <mergeCells count="25">
    <mergeCell ref="G42:H42"/>
    <mergeCell ref="G43:H43"/>
    <mergeCell ref="B48:H48"/>
    <mergeCell ref="D29:E29"/>
    <mergeCell ref="G29:H29"/>
    <mergeCell ref="B33:C34"/>
    <mergeCell ref="D33:D34"/>
    <mergeCell ref="E33:F34"/>
    <mergeCell ref="G33:H34"/>
    <mergeCell ref="H8:H9"/>
    <mergeCell ref="I8:K8"/>
    <mergeCell ref="B27:C28"/>
    <mergeCell ref="D27:E28"/>
    <mergeCell ref="F27:F28"/>
    <mergeCell ref="G27:H28"/>
    <mergeCell ref="B8:C9"/>
    <mergeCell ref="D8:D9"/>
    <mergeCell ref="E8:E9"/>
    <mergeCell ref="F8:F9"/>
    <mergeCell ref="G8:G9"/>
    <mergeCell ref="I7:K7"/>
    <mergeCell ref="B2:K2"/>
    <mergeCell ref="C4:I4"/>
    <mergeCell ref="C5:J5"/>
    <mergeCell ref="C6:J6"/>
  </mergeCells>
  <pageMargins left="0.7" right="0.7" top="0.75" bottom="0.75" header="0.3" footer="0.3"/>
  <pageSetup paperSize="9" scale="66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zoomScale="151" zoomScaleNormal="151" workbookViewId="0">
      <selection activeCell="G32" sqref="G32"/>
    </sheetView>
  </sheetViews>
  <sheetFormatPr defaultColWidth="9.140625" defaultRowHeight="15"/>
  <cols>
    <col min="1" max="1" width="33.7109375" style="33" customWidth="1"/>
    <col min="2" max="2" width="16.42578125" style="34" hidden="1" customWidth="1"/>
    <col min="3" max="3" width="15.140625" style="34" customWidth="1"/>
    <col min="4" max="4" width="12.42578125" style="33" customWidth="1"/>
    <col min="5" max="5" width="11.7109375" style="33" customWidth="1"/>
    <col min="6" max="6" width="15.7109375" style="33" customWidth="1"/>
    <col min="7" max="7" width="13.85546875" style="35" customWidth="1"/>
    <col min="8" max="8" width="10.28515625" style="33" customWidth="1"/>
    <col min="9" max="16384" width="9.140625" style="33"/>
  </cols>
  <sheetData>
    <row r="1" spans="1:9" ht="38.1" customHeight="1">
      <c r="A1" s="267"/>
      <c r="B1" s="268"/>
      <c r="C1" s="268"/>
      <c r="D1" s="267"/>
      <c r="E1" s="267"/>
      <c r="F1" s="267"/>
      <c r="G1" s="359" t="s">
        <v>440</v>
      </c>
    </row>
    <row r="2" spans="1:9" ht="20.25">
      <c r="A2" s="277"/>
      <c r="B2" s="278"/>
      <c r="C2" s="278"/>
      <c r="D2" s="277"/>
      <c r="E2" s="277"/>
      <c r="F2" s="277"/>
      <c r="G2" s="280"/>
    </row>
    <row r="3" spans="1:9" ht="18.75">
      <c r="A3" s="856" t="s">
        <v>633</v>
      </c>
      <c r="B3" s="857"/>
      <c r="C3" s="857"/>
      <c r="D3" s="857"/>
      <c r="E3" s="857"/>
      <c r="F3" s="857"/>
      <c r="G3" s="857"/>
    </row>
    <row r="4" spans="1:9" ht="15.75" thickBot="1">
      <c r="A4" s="277"/>
      <c r="B4" s="278"/>
      <c r="C4" s="278"/>
      <c r="D4" s="277"/>
      <c r="E4" s="277"/>
      <c r="F4" s="277"/>
      <c r="G4" s="279"/>
    </row>
    <row r="5" spans="1:9" s="32" customFormat="1" ht="16.5" customHeight="1" thickTop="1" thickBot="1">
      <c r="A5" s="281" t="s">
        <v>10</v>
      </c>
      <c r="B5" s="854"/>
      <c r="C5" s="855"/>
      <c r="D5" s="855"/>
      <c r="E5" s="855"/>
      <c r="F5" s="855"/>
      <c r="G5" s="855"/>
      <c r="I5"/>
    </row>
    <row r="6" spans="1:9" s="32" customFormat="1" ht="68.45" hidden="1" customHeight="1" thickTop="1" thickBot="1">
      <c r="A6" s="283" t="s">
        <v>11</v>
      </c>
      <c r="B6" s="284" t="s">
        <v>12</v>
      </c>
      <c r="C6" s="284" t="s">
        <v>13</v>
      </c>
      <c r="D6" s="285"/>
      <c r="E6" s="284" t="s">
        <v>385</v>
      </c>
      <c r="F6" s="284"/>
      <c r="G6" s="286"/>
      <c r="I6"/>
    </row>
    <row r="7" spans="1:9" ht="46.5" thickTop="1" thickBot="1">
      <c r="C7" s="284" t="s">
        <v>13</v>
      </c>
      <c r="D7" s="287">
        <f>+'TABELA ULAZNIH PODATAKA'!D10</f>
        <v>0</v>
      </c>
      <c r="E7" s="284" t="s">
        <v>436</v>
      </c>
      <c r="F7" s="418">
        <f>+'TABELA ULAZNIH PODATAKA'!D8/IF('TABELA ULAZNIH PODATAKA'!D9=0,1,'TABELA ULAZNIH PODATAKA'!D9)</f>
        <v>0</v>
      </c>
      <c r="G7" s="286"/>
      <c r="I7"/>
    </row>
    <row r="8" spans="1:9" ht="16.5" thickTop="1" thickBot="1">
      <c r="I8"/>
    </row>
    <row r="9" spans="1:9" s="32" customFormat="1" ht="30.6" customHeight="1" thickTop="1" thickBot="1">
      <c r="A9" s="293" t="s">
        <v>14</v>
      </c>
      <c r="B9" s="294"/>
      <c r="C9" s="294" t="s">
        <v>15</v>
      </c>
      <c r="D9" s="295" t="s">
        <v>1</v>
      </c>
      <c r="E9" s="294" t="s">
        <v>391</v>
      </c>
      <c r="F9" s="294" t="s">
        <v>390</v>
      </c>
      <c r="G9" s="296" t="s">
        <v>417</v>
      </c>
      <c r="I9"/>
    </row>
    <row r="10" spans="1:9" s="191" customFormat="1" ht="16.5" thickTop="1" thickBot="1">
      <c r="A10" s="343">
        <v>1</v>
      </c>
      <c r="B10" s="344"/>
      <c r="C10" s="344">
        <v>2</v>
      </c>
      <c r="D10" s="343">
        <v>3</v>
      </c>
      <c r="E10" s="343">
        <v>4</v>
      </c>
      <c r="F10" s="343">
        <v>5</v>
      </c>
      <c r="G10" s="343" t="s">
        <v>365</v>
      </c>
      <c r="I10"/>
    </row>
    <row r="11" spans="1:9" s="32" customFormat="1" ht="24" customHeight="1" thickTop="1">
      <c r="A11" s="187" t="s">
        <v>389</v>
      </c>
      <c r="B11" s="188"/>
      <c r="C11" s="188" t="s">
        <v>17</v>
      </c>
      <c r="D11" s="189">
        <v>1</v>
      </c>
      <c r="E11" s="501">
        <f>+F7/12</f>
        <v>0</v>
      </c>
      <c r="F11" s="237">
        <f>+D7/12</f>
        <v>0</v>
      </c>
      <c r="G11" s="190">
        <f>+IF(F11=0,0,E11/F11)</f>
        <v>0</v>
      </c>
      <c r="I11"/>
    </row>
    <row r="12" spans="1:9">
      <c r="A12" s="348" t="s">
        <v>515</v>
      </c>
      <c r="B12" s="349"/>
      <c r="C12" s="350" t="s">
        <v>18</v>
      </c>
      <c r="D12" s="351">
        <v>1</v>
      </c>
      <c r="E12" s="859">
        <f>+'TABELA ULAZNIH PODATAKA'!D11/IF('TABELA ULAZNIH PODATAKA'!D9=0,1,'TABELA ULAZNIH PODATAKA'!D9)</f>
        <v>0</v>
      </c>
      <c r="F12" s="352">
        <f>+D7</f>
        <v>0</v>
      </c>
      <c r="G12" s="353">
        <f>+IF(F12=0,0,E12/F12)</f>
        <v>0</v>
      </c>
      <c r="I12"/>
    </row>
    <row r="13" spans="1:9" hidden="1">
      <c r="A13" s="197" t="s">
        <v>418</v>
      </c>
      <c r="B13" s="37"/>
      <c r="C13" s="192" t="s">
        <v>18</v>
      </c>
      <c r="D13" s="193">
        <v>1</v>
      </c>
      <c r="E13" s="860"/>
      <c r="F13" s="238"/>
      <c r="G13" s="194"/>
    </row>
    <row r="14" spans="1:9">
      <c r="A14" s="348" t="s">
        <v>121</v>
      </c>
      <c r="B14" s="349"/>
      <c r="C14" s="350" t="s">
        <v>18</v>
      </c>
      <c r="D14" s="351">
        <v>1</v>
      </c>
      <c r="E14" s="503">
        <f>+'TABELA ULAZNIH PODATAKA'!D12/IF('TABELA ULAZNIH PODATAKA'!D9=0,1,'TABELA ULAZNIH PODATAKA'!D9)</f>
        <v>0</v>
      </c>
      <c r="F14" s="352">
        <f>+F12</f>
        <v>0</v>
      </c>
      <c r="G14" s="353">
        <f t="shared" ref="G14:G16" si="0">+IF(F14=0,0,E14/F14)</f>
        <v>0</v>
      </c>
    </row>
    <row r="15" spans="1:9">
      <c r="A15" s="197" t="s">
        <v>429</v>
      </c>
      <c r="B15" s="37"/>
      <c r="C15" s="188" t="s">
        <v>17</v>
      </c>
      <c r="D15" s="193">
        <v>1</v>
      </c>
      <c r="E15" s="504">
        <f>+'TABELA ULAZNIH PODATAKA'!D13/12</f>
        <v>0</v>
      </c>
      <c r="F15" s="237">
        <f>+D7</f>
        <v>0</v>
      </c>
      <c r="G15" s="194">
        <f t="shared" si="0"/>
        <v>0</v>
      </c>
    </row>
    <row r="16" spans="1:9" ht="15.75" thickBot="1">
      <c r="A16" s="354" t="s">
        <v>19</v>
      </c>
      <c r="B16" s="355"/>
      <c r="C16" s="356" t="s">
        <v>17</v>
      </c>
      <c r="D16" s="357">
        <v>1</v>
      </c>
      <c r="E16" s="502">
        <f>+'TABELA ULAZNIH PODATAKA'!D14</f>
        <v>0</v>
      </c>
      <c r="F16" s="358">
        <f>+D7</f>
        <v>0</v>
      </c>
      <c r="G16" s="353">
        <f t="shared" si="0"/>
        <v>0</v>
      </c>
    </row>
    <row r="17" spans="1:8" ht="16.5" thickTop="1" thickBot="1">
      <c r="A17" s="288" t="s">
        <v>366</v>
      </c>
      <c r="B17" s="289"/>
      <c r="C17" s="289"/>
      <c r="D17" s="290"/>
      <c r="E17" s="290"/>
      <c r="F17" s="291"/>
      <c r="G17" s="292">
        <f>SUM(G11:G16)</f>
        <v>0</v>
      </c>
      <c r="H17" s="195"/>
    </row>
    <row r="18" spans="1:8" ht="15.75" thickTop="1">
      <c r="A18" s="306"/>
      <c r="F18" s="307"/>
      <c r="H18" s="195"/>
    </row>
    <row r="19" spans="1:8" ht="15.75" thickBot="1">
      <c r="A19" s="306"/>
      <c r="F19" s="307"/>
    </row>
    <row r="20" spans="1:8" ht="16.5" thickTop="1" thickBot="1">
      <c r="A20" s="297" t="s">
        <v>20</v>
      </c>
      <c r="B20" s="298"/>
      <c r="C20" s="298" t="s">
        <v>21</v>
      </c>
      <c r="D20" s="299" t="s">
        <v>1</v>
      </c>
      <c r="E20" s="299" t="s">
        <v>518</v>
      </c>
      <c r="F20" s="300" t="s">
        <v>519</v>
      </c>
      <c r="G20" s="301" t="s">
        <v>16</v>
      </c>
    </row>
    <row r="21" spans="1:8" ht="16.5" thickTop="1" thickBot="1">
      <c r="A21" s="343">
        <v>1</v>
      </c>
      <c r="B21" s="344"/>
      <c r="C21" s="344">
        <v>2</v>
      </c>
      <c r="D21" s="343">
        <v>3</v>
      </c>
      <c r="E21" s="343">
        <v>4</v>
      </c>
      <c r="F21" s="345">
        <v>5</v>
      </c>
      <c r="G21" s="343" t="s">
        <v>392</v>
      </c>
    </row>
    <row r="22" spans="1:8" s="34" customFormat="1" ht="15.75" thickTop="1">
      <c r="A22" s="198" t="s">
        <v>419</v>
      </c>
      <c r="B22" s="36"/>
      <c r="C22" s="188" t="s">
        <v>22</v>
      </c>
      <c r="D22" s="505">
        <f>+'TABELA ULAZNIH PODATAKA'!D15</f>
        <v>0</v>
      </c>
      <c r="E22" s="505">
        <f>+'TABELA ULAZNIH PODATAKA'!D9</f>
        <v>0</v>
      </c>
      <c r="F22" s="239">
        <f>+D7</f>
        <v>0</v>
      </c>
      <c r="G22" s="194">
        <f>+IF('TABELA ULAZNIH PODATAKA'!D9=0,0,D22/(D7*'TABELA ULAZNIH PODATAKA'!D9))</f>
        <v>0</v>
      </c>
    </row>
    <row r="23" spans="1:8" s="34" customFormat="1" ht="15.75" thickBot="1">
      <c r="A23" s="199" t="s">
        <v>23</v>
      </c>
      <c r="B23" s="37"/>
      <c r="C23" s="192" t="s">
        <v>22</v>
      </c>
      <c r="D23" s="505">
        <f>+'TABELA ULAZNIH PODATAKA'!D16</f>
        <v>0</v>
      </c>
      <c r="E23" s="505">
        <f>+'TABELA ULAZNIH PODATAKA'!D9</f>
        <v>0</v>
      </c>
      <c r="F23" s="240">
        <f>+F22</f>
        <v>0</v>
      </c>
      <c r="G23" s="194">
        <f>+IF(F23=0,0,D23/F23/D$7)</f>
        <v>0</v>
      </c>
    </row>
    <row r="24" spans="1:8" s="34" customFormat="1" ht="16.5" thickTop="1" thickBot="1">
      <c r="A24" s="343">
        <v>1</v>
      </c>
      <c r="B24" s="344"/>
      <c r="C24" s="344">
        <v>2</v>
      </c>
      <c r="D24" s="343">
        <v>3</v>
      </c>
      <c r="E24" s="343">
        <v>4</v>
      </c>
      <c r="F24" s="345">
        <v>5</v>
      </c>
      <c r="G24" s="343" t="s">
        <v>365</v>
      </c>
    </row>
    <row r="25" spans="1:8" s="34" customFormat="1" ht="15.75" thickTop="1">
      <c r="A25" s="199" t="s">
        <v>420</v>
      </c>
      <c r="B25" s="37"/>
      <c r="C25" s="192" t="s">
        <v>18</v>
      </c>
      <c r="D25" s="509">
        <f>+'TABELA ULAZNIH PODATAKA'!D17</f>
        <v>0</v>
      </c>
      <c r="E25" s="506">
        <f>+E23</f>
        <v>0</v>
      </c>
      <c r="F25" s="241">
        <f>+F23</f>
        <v>0</v>
      </c>
      <c r="G25" s="194">
        <f>+IF(E25=0,0,D25/E25/F25)</f>
        <v>0</v>
      </c>
    </row>
    <row r="26" spans="1:8" s="34" customFormat="1">
      <c r="A26" s="199" t="s">
        <v>421</v>
      </c>
      <c r="B26" s="37"/>
      <c r="C26" s="192" t="s">
        <v>18</v>
      </c>
      <c r="D26" s="509">
        <f>+'TABELA ULAZNIH PODATAKA'!D18</f>
        <v>0</v>
      </c>
      <c r="E26" s="507">
        <f>'TABELA ULAZNIH PODATAKA'!D9</f>
        <v>0</v>
      </c>
      <c r="F26" s="242">
        <f>+F25</f>
        <v>0</v>
      </c>
      <c r="G26" s="233">
        <f>+IF(E26=0,0,D26/E26/F26)</f>
        <v>0</v>
      </c>
    </row>
    <row r="27" spans="1:8" s="34" customFormat="1" ht="15.75" thickBot="1">
      <c r="A27" s="200" t="s">
        <v>122</v>
      </c>
      <c r="B27" s="38"/>
      <c r="C27" s="196"/>
      <c r="D27" s="510">
        <f>+'TABELA ULAZNIH PODATAKA'!D19</f>
        <v>0</v>
      </c>
      <c r="E27" s="508">
        <f>'TABELA ULAZNIH PODATAKA'!D9</f>
        <v>0</v>
      </c>
      <c r="F27" s="243">
        <f>+F26</f>
        <v>0</v>
      </c>
      <c r="G27" s="194">
        <f>+IF(E27=0,0,D27/E27/F27)</f>
        <v>0</v>
      </c>
    </row>
    <row r="28" spans="1:8" ht="16.5" thickTop="1" thickBot="1">
      <c r="A28" s="288" t="s">
        <v>367</v>
      </c>
      <c r="B28" s="289"/>
      <c r="C28" s="289"/>
      <c r="D28" s="290"/>
      <c r="E28" s="290"/>
      <c r="F28" s="290"/>
      <c r="G28" s="292">
        <f>SUM(G22:G27)</f>
        <v>0</v>
      </c>
      <c r="H28" s="195"/>
    </row>
    <row r="29" spans="1:8" ht="16.5" thickTop="1" thickBot="1"/>
    <row r="30" spans="1:8" ht="16.5" thickTop="1" thickBot="1">
      <c r="A30" s="302" t="s">
        <v>393</v>
      </c>
      <c r="B30" s="303"/>
      <c r="C30" s="303"/>
      <c r="D30" s="304"/>
      <c r="E30" s="304"/>
      <c r="F30" s="304"/>
      <c r="G30" s="305">
        <f>+G28+G17</f>
        <v>0</v>
      </c>
    </row>
    <row r="31" spans="1:8" ht="15.75" thickTop="1">
      <c r="F31" s="248" t="s">
        <v>521</v>
      </c>
      <c r="G31" s="35">
        <f>+IF(G$30=0,0,G17/G$30)</f>
        <v>0</v>
      </c>
    </row>
    <row r="32" spans="1:8">
      <c r="F32" s="248" t="s">
        <v>394</v>
      </c>
      <c r="G32" s="35">
        <f>+IF(G$30=0,0,G18/G$30)</f>
        <v>0</v>
      </c>
    </row>
    <row r="34" spans="1:7">
      <c r="A34" s="851" t="s">
        <v>432</v>
      </c>
      <c r="B34" s="851"/>
      <c r="C34" s="851"/>
      <c r="D34" s="851"/>
      <c r="E34" s="851"/>
      <c r="F34" s="851"/>
      <c r="G34" s="851"/>
    </row>
    <row r="35" spans="1:7">
      <c r="A35" s="236" t="s">
        <v>386</v>
      </c>
      <c r="B35"/>
      <c r="C35" s="94" t="s">
        <v>387</v>
      </c>
      <c r="D35"/>
      <c r="E35"/>
      <c r="F35"/>
      <c r="G35"/>
    </row>
    <row r="36" spans="1:7" ht="16.350000000000001" customHeight="1">
      <c r="C36" s="858" t="s">
        <v>388</v>
      </c>
      <c r="D36" s="858"/>
      <c r="E36" s="858"/>
    </row>
    <row r="37" spans="1:7" ht="43.35" customHeight="1">
      <c r="C37" s="852" t="s">
        <v>434</v>
      </c>
      <c r="D37" s="853"/>
      <c r="E37" s="853"/>
    </row>
  </sheetData>
  <sheetProtection formatCells="0" formatColumns="0" formatRows="0" insertColumns="0" insertRows="0" insertHyperlinks="0" deleteColumns="0" deleteRows="0" sort="0" autoFilter="0" pivotTables="0"/>
  <mergeCells count="6">
    <mergeCell ref="C37:E37"/>
    <mergeCell ref="B5:G5"/>
    <mergeCell ref="A3:G3"/>
    <mergeCell ref="A34:G34"/>
    <mergeCell ref="C36:E36"/>
    <mergeCell ref="E12:E13"/>
  </mergeCells>
  <pageMargins left="0.7" right="0.7" top="0.75" bottom="0.75" header="0.3" footer="0.3"/>
  <pageSetup paperSize="9" scale="8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Q51"/>
  <sheetViews>
    <sheetView topLeftCell="B1" zoomScale="112" zoomScaleNormal="112" zoomScaleSheetLayoutView="150" workbookViewId="0">
      <selection activeCell="I22" sqref="I22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620</v>
      </c>
      <c r="C5" s="870">
        <f>+'TABELA ULAZNIH PODATAKA'!C75</f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629"/>
      <c r="C12" s="630" t="s">
        <v>410</v>
      </c>
      <c r="D12" s="631">
        <f>+'TABELA ULAZNIH PODATAKA'!D20</f>
        <v>0</v>
      </c>
      <c r="E12" s="631">
        <f>+'TABELA ULAZNIH PODATAKA'!D43</f>
        <v>0</v>
      </c>
      <c r="F12" s="631">
        <f>+IF(E12=0,0,D12/E12*8)</f>
        <v>0</v>
      </c>
      <c r="G12" s="631">
        <f>+'TABELA ULAZNIH PODATAKA'!D78</f>
        <v>0</v>
      </c>
      <c r="H12" s="632">
        <f>+F12*G12</f>
        <v>0</v>
      </c>
      <c r="I12" s="40">
        <f>+H12</f>
        <v>0</v>
      </c>
      <c r="J12" s="40"/>
      <c r="K12" s="40"/>
      <c r="L12" s="8"/>
      <c r="M12" s="8"/>
    </row>
    <row r="13" spans="2:13" ht="18" customHeight="1" thickBot="1">
      <c r="B13" s="633"/>
      <c r="C13" s="634" t="s">
        <v>395</v>
      </c>
      <c r="D13" s="635"/>
      <c r="E13" s="636">
        <f>+('TABELA ULAZNIH PODATAKA'!D44+'TABELA ULAZNIH PODATAKA'!D45)/(365-104-('TABELA ULAZNIH PODATAKA'!D44+'TABELA ULAZNIH PODATAKA'!D45))</f>
        <v>0</v>
      </c>
      <c r="F13" s="635">
        <f>+F12*E13</f>
        <v>0</v>
      </c>
      <c r="G13" s="635">
        <f>+G12</f>
        <v>0</v>
      </c>
      <c r="H13" s="637">
        <f>+E13*F13*G13</f>
        <v>0</v>
      </c>
      <c r="I13" s="337">
        <f>+H13</f>
        <v>0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638"/>
      <c r="C15" s="630" t="s">
        <v>396</v>
      </c>
      <c r="D15" s="639"/>
      <c r="E15" s="639">
        <f>+'TABELA ULAZNIH PODATAKA'!D79/40</f>
        <v>0</v>
      </c>
      <c r="F15" s="639">
        <f>+H12</f>
        <v>0</v>
      </c>
      <c r="G15" s="639">
        <f>+'TABELA ULAZNIH PODATAKA'!D78</f>
        <v>0</v>
      </c>
      <c r="H15" s="640">
        <f>+E15*F15*G15</f>
        <v>0</v>
      </c>
      <c r="I15" s="40">
        <f>+H15</f>
        <v>0</v>
      </c>
      <c r="J15" s="40"/>
      <c r="K15" s="40"/>
      <c r="L15" s="8"/>
      <c r="M15" s="39"/>
    </row>
    <row r="16" spans="2:13">
      <c r="B16" s="641"/>
      <c r="C16" s="634" t="s">
        <v>368</v>
      </c>
      <c r="D16" s="642"/>
      <c r="E16" s="642"/>
      <c r="F16" s="642"/>
      <c r="G16" s="635"/>
      <c r="H16" s="637"/>
      <c r="I16" s="331"/>
      <c r="J16" s="331"/>
      <c r="K16" s="331"/>
      <c r="L16" s="8"/>
      <c r="M16" s="8"/>
    </row>
    <row r="17" spans="2:13">
      <c r="B17" s="638"/>
      <c r="C17" s="643" t="s">
        <v>397</v>
      </c>
      <c r="D17" s="644">
        <f>+'TABELA ULAZNIH PODATAKA'!D51</f>
        <v>0</v>
      </c>
      <c r="E17" s="644">
        <f>+'TABELA ULAZNIH PODATAKA'!D47</f>
        <v>0</v>
      </c>
      <c r="F17" s="644">
        <f>+IF(E17=0,0,D17/E17)</f>
        <v>0</v>
      </c>
      <c r="G17" s="639">
        <v>1</v>
      </c>
      <c r="H17" s="640">
        <f>+F17</f>
        <v>0</v>
      </c>
      <c r="I17" s="43">
        <f>+H17</f>
        <v>0</v>
      </c>
      <c r="J17" s="43"/>
      <c r="K17" s="43"/>
      <c r="L17" s="8"/>
      <c r="M17" s="8"/>
    </row>
    <row r="18" spans="2:13">
      <c r="B18" s="645"/>
      <c r="C18" s="646" t="s">
        <v>400</v>
      </c>
      <c r="D18" s="642">
        <f>+IF('TABELA ULAZNIH PODATAKA'!D81&gt;0,'TABELA ULAZNIH PODATAKA'!D81,'TABELA ULAZNIH PODATAKA'!D52)</f>
        <v>0</v>
      </c>
      <c r="E18" s="642">
        <f>+ROUND(E17/12,0)</f>
        <v>0</v>
      </c>
      <c r="F18" s="642">
        <f t="shared" ref="F18:F20" si="0">+IF(E18=0,0,D18/E18)</f>
        <v>0</v>
      </c>
      <c r="G18" s="635">
        <v>1</v>
      </c>
      <c r="H18" s="637">
        <f t="shared" ref="H18:H20" si="1">+F18</f>
        <v>0</v>
      </c>
      <c r="I18" s="331">
        <f t="shared" ref="I18:I20" si="2">+H18</f>
        <v>0</v>
      </c>
      <c r="J18" s="331"/>
      <c r="K18" s="331"/>
      <c r="L18" s="8"/>
      <c r="M18" s="8"/>
    </row>
    <row r="19" spans="2:13">
      <c r="B19" s="638"/>
      <c r="C19" s="643" t="s">
        <v>413</v>
      </c>
      <c r="D19" s="644">
        <f>+'TABELA ULAZNIH PODATAKA'!D53</f>
        <v>0</v>
      </c>
      <c r="E19" s="644">
        <f>+E17</f>
        <v>0</v>
      </c>
      <c r="F19" s="644">
        <f t="shared" si="0"/>
        <v>0</v>
      </c>
      <c r="G19" s="639">
        <v>1</v>
      </c>
      <c r="H19" s="640">
        <f t="shared" si="1"/>
        <v>0</v>
      </c>
      <c r="I19" s="43">
        <f t="shared" si="2"/>
        <v>0</v>
      </c>
      <c r="J19" s="43"/>
      <c r="K19" s="43"/>
      <c r="L19" s="8"/>
      <c r="M19" s="8"/>
    </row>
    <row r="20" spans="2:13">
      <c r="B20" s="645"/>
      <c r="C20" s="646" t="s">
        <v>401</v>
      </c>
      <c r="D20" s="642">
        <f>+'TABELA ULAZNIH PODATAKA'!D54</f>
        <v>0</v>
      </c>
      <c r="E20" s="642">
        <f>+E19</f>
        <v>0</v>
      </c>
      <c r="F20" s="642">
        <f t="shared" si="0"/>
        <v>0</v>
      </c>
      <c r="G20" s="635">
        <v>1</v>
      </c>
      <c r="H20" s="637">
        <f t="shared" si="1"/>
        <v>0</v>
      </c>
      <c r="I20" s="331">
        <f t="shared" si="2"/>
        <v>0</v>
      </c>
      <c r="J20" s="331"/>
      <c r="K20" s="331"/>
      <c r="L20" s="8"/>
      <c r="M20" s="8"/>
    </row>
    <row r="21" spans="2:13">
      <c r="B21" s="638"/>
      <c r="C21" s="630"/>
      <c r="D21" s="644"/>
      <c r="E21" s="644"/>
      <c r="F21" s="644"/>
      <c r="G21" s="644"/>
      <c r="H21" s="640"/>
      <c r="I21" s="43"/>
      <c r="J21" s="43"/>
      <c r="K21" s="43"/>
      <c r="L21" s="8"/>
      <c r="M21" s="8"/>
    </row>
    <row r="22" spans="2:13" ht="15.75" thickBot="1">
      <c r="B22" s="645"/>
      <c r="C22" s="634" t="s">
        <v>402</v>
      </c>
      <c r="D22" s="647">
        <f>+'TABELA ULAZNIH PODATAKA'!D55</f>
        <v>0</v>
      </c>
      <c r="E22" s="647">
        <v>1</v>
      </c>
      <c r="F22" s="647">
        <f>+IF('TABELA ULAZNIH PODATAKA'!D80&gt;0,1,0)</f>
        <v>0</v>
      </c>
      <c r="G22" s="635"/>
      <c r="H22" s="648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638"/>
      <c r="C24" s="166" t="s">
        <v>414</v>
      </c>
      <c r="D24" s="649">
        <f>+'TABELA ULAZNIH PODATAKA'!D27*'TABELA ULAZNIH PODATAKA'!D61</f>
        <v>0</v>
      </c>
      <c r="E24" s="649">
        <f>+'PRILOG 1-Analiza usluga-03-2020'!G42</f>
        <v>0</v>
      </c>
      <c r="F24" s="649"/>
      <c r="G24" s="228"/>
      <c r="H24" s="229">
        <f>+IF(E24=0,0,D24/E24)</f>
        <v>0</v>
      </c>
      <c r="I24" s="43"/>
      <c r="J24" s="43"/>
      <c r="K24" s="43">
        <f>+H24</f>
        <v>0</v>
      </c>
      <c r="L24" s="8"/>
      <c r="M24" s="8"/>
    </row>
    <row r="25" spans="2:13">
      <c r="B25" s="645"/>
      <c r="C25" s="634" t="s">
        <v>302</v>
      </c>
      <c r="D25" s="642">
        <f>+'TABELA ULAZNIH PODATAKA'!D28</f>
        <v>0</v>
      </c>
      <c r="E25" s="642">
        <f>+'PRILOG 1-Analiza usluga-03-2020'!G42</f>
        <v>0</v>
      </c>
      <c r="F25" s="642"/>
      <c r="G25" s="635"/>
      <c r="H25" s="637">
        <f t="shared" ref="H25:H26" si="3">+IF(E25=0,0,D25/E25)</f>
        <v>0</v>
      </c>
      <c r="I25" s="331"/>
      <c r="J25" s="331"/>
      <c r="K25" s="331">
        <f t="shared" ref="K25:K26" si="4">+H25</f>
        <v>0</v>
      </c>
      <c r="L25" s="8"/>
      <c r="M25" s="8"/>
    </row>
    <row r="26" spans="2:13">
      <c r="B26" s="638"/>
      <c r="C26" s="630" t="s">
        <v>303</v>
      </c>
      <c r="D26" s="650">
        <f>+'TABELA ULAZNIH PODATAKA'!D29</f>
        <v>0</v>
      </c>
      <c r="E26" s="644">
        <f>+'PRILOG 1-Analiza usluga-03-2020'!G42</f>
        <v>0</v>
      </c>
      <c r="F26" s="644"/>
      <c r="G26" s="639"/>
      <c r="H26" s="651">
        <f t="shared" si="3"/>
        <v>0</v>
      </c>
      <c r="I26" s="43"/>
      <c r="J26" s="43"/>
      <c r="K26" s="43">
        <f t="shared" si="4"/>
        <v>0</v>
      </c>
      <c r="L26" s="8"/>
      <c r="M26" s="8"/>
    </row>
    <row r="27" spans="2:13" ht="15.75" thickBot="1">
      <c r="B27" s="638"/>
      <c r="C27" s="630"/>
      <c r="D27" s="652"/>
      <c r="E27" s="653"/>
      <c r="F27" s="653"/>
      <c r="G27" s="653"/>
      <c r="H27" s="654"/>
      <c r="I27" s="43"/>
      <c r="J27" s="43"/>
      <c r="K27" s="43"/>
      <c r="L27" s="8"/>
      <c r="M27" s="8"/>
    </row>
    <row r="28" spans="2:13" ht="15.75" thickBot="1">
      <c r="B28" s="324" t="s">
        <v>6</v>
      </c>
      <c r="C28" s="321" t="s">
        <v>351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655" t="s">
        <v>416</v>
      </c>
      <c r="C31" s="656" t="s">
        <v>33</v>
      </c>
      <c r="D31" s="902">
        <f>+'TABELA ULAZNIH PODATAKA'!D80</f>
        <v>0</v>
      </c>
      <c r="E31" s="903"/>
      <c r="F31" s="657">
        <f>+IF('TABELA ULAZNIH PODATAKA'!D82&gt;0,'TABELA ULAZNIH PODATAKA'!D82,'Podanaliza-auto-11-20'!G30)</f>
        <v>0</v>
      </c>
      <c r="G31" s="902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658"/>
      <c r="C32" s="659" t="s">
        <v>306</v>
      </c>
      <c r="D32" s="260"/>
      <c r="E32" s="261"/>
      <c r="F32" s="261"/>
      <c r="G32" s="261"/>
      <c r="H32" s="660"/>
      <c r="I32" s="254">
        <f>SUM(I12:I31)</f>
        <v>0</v>
      </c>
      <c r="J32" s="254">
        <f>SUM(J12:J31)</f>
        <v>0</v>
      </c>
      <c r="K32" s="254">
        <f>SUM(K12:K31)</f>
        <v>0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661"/>
      <c r="C36" s="662" t="s">
        <v>50</v>
      </c>
      <c r="D36" s="663">
        <f>+'TABELA ULAZNIH PODATAKA'!D31</f>
        <v>0</v>
      </c>
      <c r="E36" s="219"/>
      <c r="F36" s="664">
        <f>+'TABELA ULAZNIH PODATAKA'!D47</f>
        <v>0</v>
      </c>
      <c r="G36" s="219">
        <f>+'TABELA ULAZNIH PODATAKA'!D57</f>
        <v>0</v>
      </c>
      <c r="H36" s="419">
        <f>+IF(G36=0,0,D36/F36/G36)</f>
        <v>0</v>
      </c>
      <c r="I36" s="43"/>
      <c r="J36" s="43"/>
      <c r="K36" s="43">
        <f>+H36</f>
        <v>0</v>
      </c>
      <c r="L36" s="59"/>
      <c r="M36" s="62"/>
      <c r="N36" s="45"/>
      <c r="O36" s="128"/>
      <c r="P36" s="45"/>
      <c r="Q36" s="119"/>
    </row>
    <row r="37" spans="2:17">
      <c r="B37" s="665"/>
      <c r="C37" s="334" t="s">
        <v>37</v>
      </c>
      <c r="D37" s="666">
        <f>+'TABELA ULAZNIH PODATAKA'!D32</f>
        <v>0</v>
      </c>
      <c r="E37" s="666"/>
      <c r="F37" s="642">
        <f>+'TABELA ULAZNIH PODATAKA'!D47</f>
        <v>0</v>
      </c>
      <c r="G37" s="330">
        <f>+'TABELA ULAZNIH PODATAKA'!D57</f>
        <v>0</v>
      </c>
      <c r="H37" s="420">
        <f t="shared" ref="H37:H43" si="5">+IF(G37=0,0,D37/F37/G37)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667"/>
      <c r="C38" s="166" t="s">
        <v>38</v>
      </c>
      <c r="D38" s="668">
        <f>+'TABELA ULAZNIH PODATAKA'!D33-'TABELA ULAZNIH PODATAKA'!D15-'TABELA ULAZNIH PODATAKA'!D16</f>
        <v>0</v>
      </c>
      <c r="E38" s="668"/>
      <c r="F38" s="644">
        <f>+'TABELA ULAZNIH PODATAKA'!D47</f>
        <v>0</v>
      </c>
      <c r="G38" s="221">
        <f>+'TABELA ULAZNIH PODATAKA'!D57</f>
        <v>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665"/>
      <c r="C39" s="334" t="s">
        <v>39</v>
      </c>
      <c r="D39" s="669">
        <f>+'TABELA ULAZNIH PODATAKA'!D34</f>
        <v>0</v>
      </c>
      <c r="E39" s="669"/>
      <c r="F39" s="642">
        <f>+'TABELA ULAZNIH PODATAKA'!D47</f>
        <v>0</v>
      </c>
      <c r="G39" s="330">
        <f>+'TABELA ULAZNIH PODATAKA'!D57</f>
        <v>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661"/>
      <c r="C40" s="166" t="s">
        <v>40</v>
      </c>
      <c r="D40" s="668">
        <f>+'TABELA ULAZNIH PODATAKA'!D35</f>
        <v>0</v>
      </c>
      <c r="E40" s="668"/>
      <c r="F40" s="644">
        <f>+'TABELA ULAZNIH PODATAKA'!D47</f>
        <v>0</v>
      </c>
      <c r="G40" s="221">
        <f>+'TABELA ULAZNIH PODATAKA'!D57</f>
        <v>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670"/>
      <c r="C41" s="334" t="s">
        <v>435</v>
      </c>
      <c r="D41" s="669">
        <f>+'TABELA ULAZNIH PODATAKA'!D36-(IF('TABELA ULAZNIH PODATAKA'!D61=0,0,(D26/'TABELA ULAZNIH PODATAKA'!D61*12)))</f>
        <v>0</v>
      </c>
      <c r="E41" s="669"/>
      <c r="F41" s="642">
        <f>+'TABELA ULAZNIH PODATAKA'!D47</f>
        <v>0</v>
      </c>
      <c r="G41" s="330">
        <f>+'TABELA ULAZNIH PODATAKA'!D57</f>
        <v>0</v>
      </c>
      <c r="H41" s="420">
        <f t="shared" si="5"/>
        <v>0</v>
      </c>
      <c r="I41" s="331"/>
      <c r="J41" s="331"/>
      <c r="K41" s="331">
        <f t="shared" si="6"/>
        <v>0</v>
      </c>
      <c r="L41" s="60"/>
      <c r="M41" s="62"/>
      <c r="N41" s="62"/>
      <c r="O41" s="128"/>
      <c r="P41" s="45"/>
      <c r="Q41" s="118"/>
    </row>
    <row r="42" spans="2:17">
      <c r="B42" s="667"/>
      <c r="C42" s="166" t="s">
        <v>405</v>
      </c>
      <c r="D42" s="668">
        <f>+F12*F36</f>
        <v>0</v>
      </c>
      <c r="E42" s="221">
        <f>+'TABELA ULAZNIH PODATAKA'!D39</f>
        <v>0</v>
      </c>
      <c r="F42" s="644">
        <f>+'TABELA ULAZNIH PODATAKA'!D47</f>
        <v>0</v>
      </c>
      <c r="G42" s="668">
        <f>+'TABELA ULAZNIH PODATAKA'!D57</f>
        <v>0</v>
      </c>
      <c r="H42" s="421">
        <f t="shared" si="5"/>
        <v>0</v>
      </c>
      <c r="I42" s="43">
        <f>+H42</f>
        <v>0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670"/>
      <c r="C43" s="334" t="s">
        <v>404</v>
      </c>
      <c r="D43" s="669">
        <f>+'TABELA ULAZNIH PODATAKA'!D40*F31</f>
        <v>0</v>
      </c>
      <c r="E43" s="330"/>
      <c r="F43" s="642">
        <f>+'TABELA ULAZNIH PODATAKA'!D47</f>
        <v>0</v>
      </c>
      <c r="G43" s="669">
        <f>+'TABELA ULAZNIH PODATAKA'!D57</f>
        <v>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667"/>
      <c r="C44" s="166"/>
      <c r="D44" s="671"/>
      <c r="E44" s="221"/>
      <c r="F44" s="644"/>
      <c r="G44" s="897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>
        <f>SUM(I36:I44)</f>
        <v>0</v>
      </c>
      <c r="J45" s="256">
        <f>SUM(J36:J44)</f>
        <v>0</v>
      </c>
      <c r="K45" s="256">
        <f>SUM(K36:K44)</f>
        <v>0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>
        <f>+I32+J32+K32</f>
        <v>0</v>
      </c>
      <c r="K46" s="672">
        <f>+IF(J$49=0,0,J46/J$49)</f>
        <v>0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>
        <f>+I45+J45+K45</f>
        <v>0</v>
      </c>
      <c r="K47" s="672">
        <f>+IF(J$49=0,0,J47/J$49)</f>
        <v>0</v>
      </c>
    </row>
    <row r="48" spans="2:17" ht="15.75" thickBot="1">
      <c r="B48" s="255" t="s">
        <v>448</v>
      </c>
      <c r="C48" s="673">
        <f>+'TABELA ULAZNIH PODATAKA'!D42/100</f>
        <v>0</v>
      </c>
      <c r="D48" s="260"/>
      <c r="E48" s="261"/>
      <c r="F48" s="262"/>
      <c r="G48" s="261"/>
      <c r="H48" s="263"/>
      <c r="I48" s="257"/>
      <c r="J48" s="402">
        <f>+(J47+J46)*C48</f>
        <v>0</v>
      </c>
      <c r="K48" s="672">
        <f>+IF(J$49=0,0,J48/J$49)</f>
        <v>0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>
        <f>+J46+J47+J48</f>
        <v>0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sheetProtection algorithmName="SHA-512" hashValue="wKJoq2orNbVHir5l+MfvnxcgrXYTQHKBeABz59oFMur83WdegS5FIqntp/bfZ8R8Q2CZrMeE8xNAx4SQuFMMVg==" saltValue="VDtYatdTUWaEp1wsnt5jkg==" spinCount="100000" sheet="1" formatCells="0" formatColumns="0" formatRows="0" insertColumns="0" insertRows="0" insertHyperlinks="0" deleteColumns="0" deleteRows="0" sort="0" autoFilter="0" pivotTables="0"/>
  <mergeCells count="31">
    <mergeCell ref="G44:H44"/>
    <mergeCell ref="B49:H49"/>
    <mergeCell ref="D31:E31"/>
    <mergeCell ref="G31:H31"/>
    <mergeCell ref="B34:C35"/>
    <mergeCell ref="D34:D35"/>
    <mergeCell ref="E34:F35"/>
    <mergeCell ref="C33:K33"/>
    <mergeCell ref="B45:H45"/>
    <mergeCell ref="B46:H46"/>
    <mergeCell ref="G34:G35"/>
    <mergeCell ref="H34:H35"/>
    <mergeCell ref="H9:H10"/>
    <mergeCell ref="I9:K9"/>
    <mergeCell ref="B29:C30"/>
    <mergeCell ref="D29:E30"/>
    <mergeCell ref="F29:F30"/>
    <mergeCell ref="G29:H30"/>
    <mergeCell ref="B9:C10"/>
    <mergeCell ref="D9:D10"/>
    <mergeCell ref="E9:E10"/>
    <mergeCell ref="F9:F10"/>
    <mergeCell ref="G9:G10"/>
    <mergeCell ref="C11:K11"/>
    <mergeCell ref="J2:K2"/>
    <mergeCell ref="J1:K1"/>
    <mergeCell ref="I8:K8"/>
    <mergeCell ref="B3:K3"/>
    <mergeCell ref="C5:I5"/>
    <mergeCell ref="C6:J6"/>
    <mergeCell ref="C7:J7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92033-6C16-4501-9ECA-2175163D5D5F}">
  <sheetPr>
    <tabColor rgb="FF0070C0"/>
    <pageSetUpPr fitToPage="1"/>
  </sheetPr>
  <dimension ref="A1:Q51"/>
  <sheetViews>
    <sheetView topLeftCell="B1" zoomScale="112" zoomScaleNormal="112" zoomScaleSheetLayoutView="150" workbookViewId="0">
      <selection activeCell="M18" sqref="M18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621</v>
      </c>
      <c r="C5" s="870">
        <f>+'TABELA ULAZNIH PODATAKA'!C83</f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629"/>
      <c r="C12" s="630" t="s">
        <v>410</v>
      </c>
      <c r="D12" s="631">
        <f>+'TABELA ULAZNIH PODATAKA'!D20</f>
        <v>0</v>
      </c>
      <c r="E12" s="631">
        <f>+'TABELA ULAZNIH PODATAKA'!D43</f>
        <v>0</v>
      </c>
      <c r="F12" s="631">
        <f>+IF(E12=0,0,D12/E12*8)</f>
        <v>0</v>
      </c>
      <c r="G12" s="631">
        <f>+'TABELA ULAZNIH PODATAKA'!D86</f>
        <v>0</v>
      </c>
      <c r="H12" s="632">
        <f>+F12*G12</f>
        <v>0</v>
      </c>
      <c r="I12" s="40">
        <f>+H12</f>
        <v>0</v>
      </c>
      <c r="J12" s="40"/>
      <c r="K12" s="40"/>
      <c r="L12" s="8"/>
      <c r="M12" s="8"/>
    </row>
    <row r="13" spans="2:13" ht="18" customHeight="1" thickBot="1">
      <c r="B13" s="633"/>
      <c r="C13" s="634" t="s">
        <v>395</v>
      </c>
      <c r="D13" s="635"/>
      <c r="E13" s="636">
        <f>+('TABELA ULAZNIH PODATAKA'!D44+'TABELA ULAZNIH PODATAKA'!D45)/(365-104-('TABELA ULAZNIH PODATAKA'!D44+'TABELA ULAZNIH PODATAKA'!D45))</f>
        <v>0</v>
      </c>
      <c r="F13" s="635">
        <f>+F12*E13</f>
        <v>0</v>
      </c>
      <c r="G13" s="635">
        <f>+G12</f>
        <v>0</v>
      </c>
      <c r="H13" s="637">
        <f>+F13*G13*E13</f>
        <v>0</v>
      </c>
      <c r="I13" s="337">
        <f>+H13</f>
        <v>0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638"/>
      <c r="C15" s="630" t="s">
        <v>396</v>
      </c>
      <c r="D15" s="639"/>
      <c r="E15" s="639">
        <f>+'TABELA ULAZNIH PODATAKA'!D87/40</f>
        <v>0</v>
      </c>
      <c r="F15" s="639">
        <f>+H12</f>
        <v>0</v>
      </c>
      <c r="G15" s="639">
        <v>1</v>
      </c>
      <c r="H15" s="640">
        <f>+E15*F15*G15</f>
        <v>0</v>
      </c>
      <c r="I15" s="40">
        <f>+H15</f>
        <v>0</v>
      </c>
      <c r="J15" s="40"/>
      <c r="K15" s="40"/>
      <c r="L15" s="8"/>
      <c r="M15" s="39"/>
    </row>
    <row r="16" spans="2:13">
      <c r="B16" s="641"/>
      <c r="C16" s="634" t="s">
        <v>368</v>
      </c>
      <c r="D16" s="642"/>
      <c r="E16" s="642"/>
      <c r="F16" s="642"/>
      <c r="G16" s="635"/>
      <c r="H16" s="637"/>
      <c r="I16" s="331"/>
      <c r="J16" s="331"/>
      <c r="K16" s="331"/>
      <c r="L16" s="8"/>
      <c r="M16" s="8"/>
    </row>
    <row r="17" spans="2:13">
      <c r="B17" s="638"/>
      <c r="C17" s="643" t="s">
        <v>397</v>
      </c>
      <c r="D17" s="644">
        <f>+'TABELA ULAZNIH PODATAKA'!D51</f>
        <v>0</v>
      </c>
      <c r="E17" s="644">
        <f>+'TABELA ULAZNIH PODATAKA'!D47</f>
        <v>0</v>
      </c>
      <c r="F17" s="644">
        <f>+IF(E17=0,0,D17/E17)</f>
        <v>0</v>
      </c>
      <c r="G17" s="639">
        <v>1</v>
      </c>
      <c r="H17" s="640">
        <f>+F17</f>
        <v>0</v>
      </c>
      <c r="I17" s="43">
        <f>+H17</f>
        <v>0</v>
      </c>
      <c r="J17" s="43"/>
      <c r="K17" s="43"/>
      <c r="L17" s="8"/>
      <c r="M17" s="8"/>
    </row>
    <row r="18" spans="2:13">
      <c r="B18" s="645"/>
      <c r="C18" s="646" t="s">
        <v>400</v>
      </c>
      <c r="D18" s="642">
        <f>+IF('TABELA ULAZNIH PODATAKA'!D89&gt;0,'TABELA ULAZNIH PODATAKA'!D89,'TABELA ULAZNIH PODATAKA'!D52)</f>
        <v>0</v>
      </c>
      <c r="E18" s="642">
        <f>+ROUND(E17/12,0)</f>
        <v>0</v>
      </c>
      <c r="F18" s="642">
        <f t="shared" ref="F18:F20" si="0">+IF(E18=0,0,D18/E18)</f>
        <v>0</v>
      </c>
      <c r="G18" s="635">
        <v>1</v>
      </c>
      <c r="H18" s="637">
        <f t="shared" ref="H18:H20" si="1">+F18</f>
        <v>0</v>
      </c>
      <c r="I18" s="331">
        <f t="shared" ref="I18:I20" si="2">+H18</f>
        <v>0</v>
      </c>
      <c r="J18" s="331"/>
      <c r="K18" s="331"/>
      <c r="L18" s="8"/>
      <c r="M18" s="8"/>
    </row>
    <row r="19" spans="2:13">
      <c r="B19" s="638"/>
      <c r="C19" s="643" t="s">
        <v>413</v>
      </c>
      <c r="D19" s="644">
        <f>+'TABELA ULAZNIH PODATAKA'!D53</f>
        <v>0</v>
      </c>
      <c r="E19" s="644">
        <f>+E17</f>
        <v>0</v>
      </c>
      <c r="F19" s="644">
        <f t="shared" si="0"/>
        <v>0</v>
      </c>
      <c r="G19" s="639">
        <v>1</v>
      </c>
      <c r="H19" s="640">
        <f t="shared" si="1"/>
        <v>0</v>
      </c>
      <c r="I19" s="43">
        <f t="shared" si="2"/>
        <v>0</v>
      </c>
      <c r="J19" s="43"/>
      <c r="K19" s="43"/>
      <c r="L19" s="8"/>
      <c r="M19" s="8"/>
    </row>
    <row r="20" spans="2:13">
      <c r="B20" s="645"/>
      <c r="C20" s="646" t="s">
        <v>401</v>
      </c>
      <c r="D20" s="642">
        <f>+'TABELA ULAZNIH PODATAKA'!D54</f>
        <v>0</v>
      </c>
      <c r="E20" s="642">
        <f>+E19</f>
        <v>0</v>
      </c>
      <c r="F20" s="642">
        <f t="shared" si="0"/>
        <v>0</v>
      </c>
      <c r="G20" s="635">
        <v>1</v>
      </c>
      <c r="H20" s="637">
        <f t="shared" si="1"/>
        <v>0</v>
      </c>
      <c r="I20" s="331">
        <f t="shared" si="2"/>
        <v>0</v>
      </c>
      <c r="J20" s="331"/>
      <c r="K20" s="331"/>
      <c r="L20" s="8"/>
      <c r="M20" s="8"/>
    </row>
    <row r="21" spans="2:13">
      <c r="B21" s="638"/>
      <c r="C21" s="630"/>
      <c r="D21" s="644"/>
      <c r="E21" s="644"/>
      <c r="F21" s="644"/>
      <c r="G21" s="644"/>
      <c r="H21" s="640"/>
      <c r="I21" s="43"/>
      <c r="J21" s="43"/>
      <c r="K21" s="43"/>
      <c r="L21" s="8"/>
      <c r="M21" s="8"/>
    </row>
    <row r="22" spans="2:13" ht="15.75" thickBot="1">
      <c r="B22" s="645"/>
      <c r="C22" s="634" t="s">
        <v>402</v>
      </c>
      <c r="D22" s="647">
        <f>+'TABELA ULAZNIH PODATAKA'!D55</f>
        <v>0</v>
      </c>
      <c r="E22" s="647">
        <v>1</v>
      </c>
      <c r="F22" s="647">
        <f>+IF('TABELA ULAZNIH PODATAKA'!D88&gt;0,1,0)</f>
        <v>0</v>
      </c>
      <c r="G22" s="635"/>
      <c r="H22" s="648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638"/>
      <c r="C24" s="166" t="s">
        <v>414</v>
      </c>
      <c r="D24" s="649">
        <f>+'TABELA ULAZNIH PODATAKA'!D27*'TABELA ULAZNIH PODATAKA'!D61</f>
        <v>0</v>
      </c>
      <c r="E24" s="649">
        <f>+'PRILOG 1-Analiza usluga-03-2020'!G42</f>
        <v>0</v>
      </c>
      <c r="F24" s="649"/>
      <c r="G24" s="228"/>
      <c r="H24" s="229">
        <f>+IF(E24=0,0,D24/E24)</f>
        <v>0</v>
      </c>
      <c r="I24" s="43"/>
      <c r="J24" s="43"/>
      <c r="K24" s="43">
        <f>+H24</f>
        <v>0</v>
      </c>
      <c r="L24" s="8"/>
      <c r="M24" s="8"/>
    </row>
    <row r="25" spans="2:13">
      <c r="B25" s="645"/>
      <c r="C25" s="634" t="s">
        <v>302</v>
      </c>
      <c r="D25" s="642">
        <f>+'TABELA ULAZNIH PODATAKA'!D28</f>
        <v>0</v>
      </c>
      <c r="E25" s="642">
        <f>+'PRILOG 1-Analiza usluga-03-2020'!G42</f>
        <v>0</v>
      </c>
      <c r="F25" s="642"/>
      <c r="G25" s="635"/>
      <c r="H25" s="637">
        <f t="shared" ref="H25:H26" si="3">+IF(E25=0,0,D25/E25)</f>
        <v>0</v>
      </c>
      <c r="I25" s="331"/>
      <c r="J25" s="331"/>
      <c r="K25" s="331">
        <f t="shared" ref="K25:K26" si="4">+H25</f>
        <v>0</v>
      </c>
      <c r="L25" s="8"/>
      <c r="M25" s="8"/>
    </row>
    <row r="26" spans="2:13">
      <c r="B26" s="638"/>
      <c r="C26" s="630" t="s">
        <v>303</v>
      </c>
      <c r="D26" s="650">
        <f>+'TABELA ULAZNIH PODATAKA'!D29</f>
        <v>0</v>
      </c>
      <c r="E26" s="644">
        <f>+'PRILOG 1-Analiza usluga-03-2020'!G42</f>
        <v>0</v>
      </c>
      <c r="F26" s="644"/>
      <c r="G26" s="639"/>
      <c r="H26" s="651">
        <f t="shared" si="3"/>
        <v>0</v>
      </c>
      <c r="I26" s="43"/>
      <c r="J26" s="43"/>
      <c r="K26" s="43">
        <f t="shared" si="4"/>
        <v>0</v>
      </c>
      <c r="L26" s="8"/>
      <c r="M26" s="8"/>
    </row>
    <row r="27" spans="2:13" ht="15.75" thickBot="1">
      <c r="B27" s="638"/>
      <c r="C27" s="630"/>
      <c r="D27" s="652"/>
      <c r="E27" s="653"/>
      <c r="F27" s="653"/>
      <c r="G27" s="653"/>
      <c r="H27" s="654"/>
      <c r="I27" s="43"/>
      <c r="J27" s="43"/>
      <c r="K27" s="43"/>
      <c r="L27" s="8"/>
      <c r="M27" s="8"/>
    </row>
    <row r="28" spans="2:13" ht="15.75" thickBot="1">
      <c r="B28" s="324" t="s">
        <v>6</v>
      </c>
      <c r="C28" s="321" t="s">
        <v>351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655" t="s">
        <v>416</v>
      </c>
      <c r="C31" s="656" t="s">
        <v>33</v>
      </c>
      <c r="D31" s="902">
        <f>+'TABELA ULAZNIH PODATAKA'!D88</f>
        <v>0</v>
      </c>
      <c r="E31" s="903"/>
      <c r="F31" s="657">
        <f>+IF('TABELA ULAZNIH PODATAKA'!D90&gt;0,'TABELA ULAZNIH PODATAKA'!D90,'Podanaliza-auto-11-20'!G30)</f>
        <v>0</v>
      </c>
      <c r="G31" s="902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658"/>
      <c r="C32" s="659" t="s">
        <v>306</v>
      </c>
      <c r="D32" s="260"/>
      <c r="E32" s="261"/>
      <c r="F32" s="261"/>
      <c r="G32" s="261"/>
      <c r="H32" s="660"/>
      <c r="I32" s="254">
        <f>SUM(I12:I31)</f>
        <v>0</v>
      </c>
      <c r="J32" s="254">
        <f>SUM(J12:J31)</f>
        <v>0</v>
      </c>
      <c r="K32" s="254">
        <f>SUM(K12:K31)</f>
        <v>0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661"/>
      <c r="C36" s="662" t="s">
        <v>50</v>
      </c>
      <c r="D36" s="663">
        <f>+'TABELA ULAZNIH PODATAKA'!D31</f>
        <v>0</v>
      </c>
      <c r="E36" s="219"/>
      <c r="F36" s="664">
        <f>+'TABELA ULAZNIH PODATAKA'!D47</f>
        <v>0</v>
      </c>
      <c r="G36" s="219">
        <f>+'TABELA ULAZNIH PODATAKA'!D57</f>
        <v>0</v>
      </c>
      <c r="H36" s="419">
        <f>+IF(G36=0,0,D36/F36/G36)</f>
        <v>0</v>
      </c>
      <c r="I36" s="43"/>
      <c r="J36" s="43"/>
      <c r="K36" s="43">
        <f>+H36</f>
        <v>0</v>
      </c>
      <c r="L36" s="59"/>
      <c r="M36" s="62"/>
      <c r="N36" s="45"/>
      <c r="O36" s="128"/>
      <c r="P36" s="45"/>
      <c r="Q36" s="119"/>
    </row>
    <row r="37" spans="2:17">
      <c r="B37" s="665"/>
      <c r="C37" s="334" t="s">
        <v>37</v>
      </c>
      <c r="D37" s="666">
        <f>+'TABELA ULAZNIH PODATAKA'!D32</f>
        <v>0</v>
      </c>
      <c r="E37" s="666"/>
      <c r="F37" s="642">
        <f>+'TABELA ULAZNIH PODATAKA'!D47</f>
        <v>0</v>
      </c>
      <c r="G37" s="330">
        <f>+'TABELA ULAZNIH PODATAKA'!D57</f>
        <v>0</v>
      </c>
      <c r="H37" s="420">
        <f t="shared" ref="H37:H43" si="5">+IF(G37=0,0,D37/F37/G37)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667"/>
      <c r="C38" s="166" t="s">
        <v>38</v>
      </c>
      <c r="D38" s="668">
        <f>+'TABELA ULAZNIH PODATAKA'!D33-'TABELA ULAZNIH PODATAKA'!D15-'TABELA ULAZNIH PODATAKA'!D16</f>
        <v>0</v>
      </c>
      <c r="E38" s="668"/>
      <c r="F38" s="644">
        <f>+'TABELA ULAZNIH PODATAKA'!D47</f>
        <v>0</v>
      </c>
      <c r="G38" s="221">
        <f>+'TABELA ULAZNIH PODATAKA'!D57</f>
        <v>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665"/>
      <c r="C39" s="334" t="s">
        <v>39</v>
      </c>
      <c r="D39" s="669">
        <f>+'TABELA ULAZNIH PODATAKA'!D34</f>
        <v>0</v>
      </c>
      <c r="E39" s="669"/>
      <c r="F39" s="642">
        <f>+'TABELA ULAZNIH PODATAKA'!D47</f>
        <v>0</v>
      </c>
      <c r="G39" s="330">
        <f>+'TABELA ULAZNIH PODATAKA'!D57</f>
        <v>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661"/>
      <c r="C40" s="166" t="s">
        <v>40</v>
      </c>
      <c r="D40" s="668">
        <f>+'TABELA ULAZNIH PODATAKA'!D35</f>
        <v>0</v>
      </c>
      <c r="E40" s="668"/>
      <c r="F40" s="644">
        <f>+'TABELA ULAZNIH PODATAKA'!D47</f>
        <v>0</v>
      </c>
      <c r="G40" s="221">
        <f>+'TABELA ULAZNIH PODATAKA'!D57</f>
        <v>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670"/>
      <c r="C41" s="334" t="s">
        <v>435</v>
      </c>
      <c r="D41" s="669">
        <f>+'TABELA ULAZNIH PODATAKA'!D36-(IF('TABELA ULAZNIH PODATAKA'!D61=0,0,(D26/'TABELA ULAZNIH PODATAKA'!D61*12)))</f>
        <v>0</v>
      </c>
      <c r="E41" s="669"/>
      <c r="F41" s="642">
        <f>+'TABELA ULAZNIH PODATAKA'!D47</f>
        <v>0</v>
      </c>
      <c r="G41" s="330">
        <f>+'TABELA ULAZNIH PODATAKA'!D57</f>
        <v>0</v>
      </c>
      <c r="H41" s="420">
        <f t="shared" si="5"/>
        <v>0</v>
      </c>
      <c r="I41" s="331"/>
      <c r="J41" s="331"/>
      <c r="K41" s="331">
        <f t="shared" si="6"/>
        <v>0</v>
      </c>
      <c r="L41" s="60"/>
      <c r="M41" s="62"/>
      <c r="N41" s="62"/>
      <c r="O41" s="128"/>
      <c r="P41" s="45"/>
      <c r="Q41" s="118"/>
    </row>
    <row r="42" spans="2:17">
      <c r="B42" s="667"/>
      <c r="C42" s="166" t="s">
        <v>405</v>
      </c>
      <c r="D42" s="668">
        <f>+F12*F36</f>
        <v>0</v>
      </c>
      <c r="E42" s="221">
        <f>+'TABELA ULAZNIH PODATAKA'!D39</f>
        <v>0</v>
      </c>
      <c r="F42" s="644">
        <f>+'TABELA ULAZNIH PODATAKA'!D47</f>
        <v>0</v>
      </c>
      <c r="G42" s="668">
        <f>+'TABELA ULAZNIH PODATAKA'!D57</f>
        <v>0</v>
      </c>
      <c r="H42" s="421">
        <f t="shared" si="5"/>
        <v>0</v>
      </c>
      <c r="I42" s="43">
        <f>+H42</f>
        <v>0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670"/>
      <c r="C43" s="334" t="s">
        <v>404</v>
      </c>
      <c r="D43" s="669">
        <f>+'TABELA ULAZNIH PODATAKA'!D40*F31</f>
        <v>0</v>
      </c>
      <c r="E43" s="330"/>
      <c r="F43" s="642">
        <f>+'TABELA ULAZNIH PODATAKA'!D47</f>
        <v>0</v>
      </c>
      <c r="G43" s="669">
        <f>+'TABELA ULAZNIH PODATAKA'!D57</f>
        <v>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667"/>
      <c r="C44" s="166"/>
      <c r="D44" s="671"/>
      <c r="E44" s="221"/>
      <c r="F44" s="644"/>
      <c r="G44" s="897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>
        <f>SUM(I36:I44)</f>
        <v>0</v>
      </c>
      <c r="J45" s="256">
        <f>SUM(J36:J44)</f>
        <v>0</v>
      </c>
      <c r="K45" s="256">
        <f>SUM(K36:K44)</f>
        <v>0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>
        <f>+I32+J32+K32</f>
        <v>0</v>
      </c>
      <c r="K46" s="672">
        <f>+IF(J$49=0,0,J46/J$49)</f>
        <v>0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>
        <f>+I45+J45+K45</f>
        <v>0</v>
      </c>
      <c r="K47" s="672">
        <f>+IF(J$49=0,0,J47/J$49)</f>
        <v>0</v>
      </c>
    </row>
    <row r="48" spans="2:17" ht="15.75" thickBot="1">
      <c r="B48" s="255" t="s">
        <v>448</v>
      </c>
      <c r="C48" s="673">
        <f>+'TABELA ULAZNIH PODATAKA'!D42/100</f>
        <v>0</v>
      </c>
      <c r="D48" s="260"/>
      <c r="E48" s="261"/>
      <c r="F48" s="262"/>
      <c r="G48" s="261"/>
      <c r="H48" s="263"/>
      <c r="I48" s="257"/>
      <c r="J48" s="402">
        <f>+(J47+J46)*C48</f>
        <v>0</v>
      </c>
      <c r="K48" s="672">
        <f>+IF(J$49=0,0,J48/J$49)</f>
        <v>0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>
        <f>+J46+J47+J48</f>
        <v>0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sheetProtection algorithmName="SHA-512" hashValue="n2h42974uOns6cjPkOkHPEleRH9Ju4PXdzvnRzdqAixsWFI7H1cRMFlVxPhsr3u5H4QTr+Tes4MysA9Y6mg4zw==" saltValue="bQlwb8DvXtw5JBn5yYI33g==" spinCount="100000" sheet="1" formatCells="0" formatColumns="0" formatRows="0" insertColumns="0" insertRows="0" insertHyperlinks="0" deleteColumns="0" deleteRows="0" sort="0" autoFilter="0" pivotTables="0"/>
  <mergeCells count="31">
    <mergeCell ref="C7:J7"/>
    <mergeCell ref="J1:K1"/>
    <mergeCell ref="J2:K2"/>
    <mergeCell ref="B3:K3"/>
    <mergeCell ref="C5:I5"/>
    <mergeCell ref="C6:J6"/>
    <mergeCell ref="D31:E31"/>
    <mergeCell ref="G31:H31"/>
    <mergeCell ref="I8:K8"/>
    <mergeCell ref="B9:C10"/>
    <mergeCell ref="D9:D10"/>
    <mergeCell ref="E9:E10"/>
    <mergeCell ref="F9:F10"/>
    <mergeCell ref="G9:G10"/>
    <mergeCell ref="H9:H10"/>
    <mergeCell ref="I9:K9"/>
    <mergeCell ref="C11:K11"/>
    <mergeCell ref="B29:C30"/>
    <mergeCell ref="D29:E30"/>
    <mergeCell ref="F29:F30"/>
    <mergeCell ref="G29:H30"/>
    <mergeCell ref="G44:H44"/>
    <mergeCell ref="B45:H45"/>
    <mergeCell ref="B46:H46"/>
    <mergeCell ref="B49:H49"/>
    <mergeCell ref="C33:K33"/>
    <mergeCell ref="B34:C35"/>
    <mergeCell ref="D34:D35"/>
    <mergeCell ref="E34:F35"/>
    <mergeCell ref="G34:G35"/>
    <mergeCell ref="H34:H35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22EE9-985F-4C8A-AFE0-16D4240F7AF1}">
  <sheetPr>
    <tabColor rgb="FF0070C0"/>
    <pageSetUpPr fitToPage="1"/>
  </sheetPr>
  <dimension ref="A1:Q51"/>
  <sheetViews>
    <sheetView topLeftCell="B1" zoomScale="112" zoomScaleNormal="112" zoomScaleSheetLayoutView="150" workbookViewId="0">
      <selection activeCell="F24" sqref="F24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622</v>
      </c>
      <c r="C5" s="870">
        <f>+'TABELA ULAZNIH PODATAKA'!C91</f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629"/>
      <c r="C12" s="630" t="s">
        <v>410</v>
      </c>
      <c r="D12" s="631">
        <f>+'TABELA ULAZNIH PODATAKA'!D20</f>
        <v>0</v>
      </c>
      <c r="E12" s="631">
        <f>+'TABELA ULAZNIH PODATAKA'!D43</f>
        <v>0</v>
      </c>
      <c r="F12" s="631">
        <f>+IF(E12=0,0,D12/E12*8)</f>
        <v>0</v>
      </c>
      <c r="G12" s="631">
        <f>+'TABELA ULAZNIH PODATAKA'!D94</f>
        <v>0</v>
      </c>
      <c r="H12" s="632">
        <f>+F12*G12</f>
        <v>0</v>
      </c>
      <c r="I12" s="40">
        <f>+H12</f>
        <v>0</v>
      </c>
      <c r="J12" s="40"/>
      <c r="K12" s="40"/>
      <c r="L12" s="8"/>
      <c r="M12" s="8"/>
    </row>
    <row r="13" spans="2:13" ht="18" customHeight="1" thickBot="1">
      <c r="B13" s="633"/>
      <c r="C13" s="634" t="s">
        <v>395</v>
      </c>
      <c r="D13" s="635"/>
      <c r="E13" s="636">
        <f>+('TABELA ULAZNIH PODATAKA'!D44+'TABELA ULAZNIH PODATAKA'!D45)/(365-104-('TABELA ULAZNIH PODATAKA'!D44+'TABELA ULAZNIH PODATAKA'!D45))</f>
        <v>0</v>
      </c>
      <c r="F13" s="635">
        <f>+F12*E13</f>
        <v>0</v>
      </c>
      <c r="G13" s="635">
        <f>+G12</f>
        <v>0</v>
      </c>
      <c r="H13" s="637">
        <f>+F13*G13*E13</f>
        <v>0</v>
      </c>
      <c r="I13" s="337">
        <f>+H13</f>
        <v>0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638"/>
      <c r="C15" s="630" t="s">
        <v>396</v>
      </c>
      <c r="D15" s="639"/>
      <c r="E15" s="639">
        <f>+'TABELA ULAZNIH PODATAKA'!D95/40</f>
        <v>0</v>
      </c>
      <c r="F15" s="639">
        <f>+H12</f>
        <v>0</v>
      </c>
      <c r="G15" s="639">
        <v>1</v>
      </c>
      <c r="H15" s="640">
        <f>+E15*F15*G15</f>
        <v>0</v>
      </c>
      <c r="I15" s="40">
        <f>+H15</f>
        <v>0</v>
      </c>
      <c r="J15" s="40"/>
      <c r="K15" s="40"/>
      <c r="L15" s="8"/>
      <c r="M15" s="39"/>
    </row>
    <row r="16" spans="2:13">
      <c r="B16" s="641"/>
      <c r="C16" s="634" t="s">
        <v>368</v>
      </c>
      <c r="D16" s="642"/>
      <c r="E16" s="642"/>
      <c r="F16" s="642"/>
      <c r="G16" s="635"/>
      <c r="H16" s="637"/>
      <c r="I16" s="331"/>
      <c r="J16" s="331"/>
      <c r="K16" s="331"/>
      <c r="L16" s="8"/>
      <c r="M16" s="8"/>
    </row>
    <row r="17" spans="2:13">
      <c r="B17" s="638"/>
      <c r="C17" s="643" t="s">
        <v>397</v>
      </c>
      <c r="D17" s="644">
        <f>+'TABELA ULAZNIH PODATAKA'!D51</f>
        <v>0</v>
      </c>
      <c r="E17" s="644">
        <f>+'TABELA ULAZNIH PODATAKA'!D47</f>
        <v>0</v>
      </c>
      <c r="F17" s="644">
        <f>+IF(E17=0,0,D17/E17)</f>
        <v>0</v>
      </c>
      <c r="G17" s="639">
        <v>1</v>
      </c>
      <c r="H17" s="640">
        <f>+F17</f>
        <v>0</v>
      </c>
      <c r="I17" s="43">
        <f>+H17</f>
        <v>0</v>
      </c>
      <c r="J17" s="43"/>
      <c r="K17" s="43"/>
      <c r="L17" s="8"/>
      <c r="M17" s="8"/>
    </row>
    <row r="18" spans="2:13">
      <c r="B18" s="645"/>
      <c r="C18" s="646" t="s">
        <v>400</v>
      </c>
      <c r="D18" s="642">
        <f>+IF('TABELA ULAZNIH PODATAKA'!D97&gt;0,'TABELA ULAZNIH PODATAKA'!D97,'TABELA ULAZNIH PODATAKA'!D52)</f>
        <v>0</v>
      </c>
      <c r="E18" s="642">
        <f>+ROUND(E17/12,0)</f>
        <v>0</v>
      </c>
      <c r="F18" s="642">
        <f t="shared" ref="F18:F20" si="0">+IF(E18=0,0,D18/E18)</f>
        <v>0</v>
      </c>
      <c r="G18" s="635">
        <v>1</v>
      </c>
      <c r="H18" s="637">
        <f t="shared" ref="H18:H20" si="1">+F18</f>
        <v>0</v>
      </c>
      <c r="I18" s="331">
        <f t="shared" ref="I18:I20" si="2">+H18</f>
        <v>0</v>
      </c>
      <c r="J18" s="331"/>
      <c r="K18" s="331"/>
      <c r="L18" s="8"/>
      <c r="M18" s="8"/>
    </row>
    <row r="19" spans="2:13">
      <c r="B19" s="638"/>
      <c r="C19" s="643" t="s">
        <v>413</v>
      </c>
      <c r="D19" s="644">
        <f>+'TABELA ULAZNIH PODATAKA'!D53</f>
        <v>0</v>
      </c>
      <c r="E19" s="644">
        <f>+E17</f>
        <v>0</v>
      </c>
      <c r="F19" s="644">
        <f t="shared" si="0"/>
        <v>0</v>
      </c>
      <c r="G19" s="639">
        <v>1</v>
      </c>
      <c r="H19" s="640">
        <f t="shared" si="1"/>
        <v>0</v>
      </c>
      <c r="I19" s="43">
        <f t="shared" si="2"/>
        <v>0</v>
      </c>
      <c r="J19" s="43"/>
      <c r="K19" s="43"/>
      <c r="L19" s="8"/>
      <c r="M19" s="8"/>
    </row>
    <row r="20" spans="2:13">
      <c r="B20" s="645"/>
      <c r="C20" s="646" t="s">
        <v>401</v>
      </c>
      <c r="D20" s="642">
        <f>+'TABELA ULAZNIH PODATAKA'!D54</f>
        <v>0</v>
      </c>
      <c r="E20" s="642">
        <f>+E19</f>
        <v>0</v>
      </c>
      <c r="F20" s="642">
        <f t="shared" si="0"/>
        <v>0</v>
      </c>
      <c r="G20" s="635">
        <v>1</v>
      </c>
      <c r="H20" s="637">
        <f t="shared" si="1"/>
        <v>0</v>
      </c>
      <c r="I20" s="331">
        <f t="shared" si="2"/>
        <v>0</v>
      </c>
      <c r="J20" s="331"/>
      <c r="K20" s="331"/>
      <c r="L20" s="8"/>
      <c r="M20" s="8"/>
    </row>
    <row r="21" spans="2:13">
      <c r="B21" s="638"/>
      <c r="C21" s="630"/>
      <c r="D21" s="644"/>
      <c r="E21" s="644"/>
      <c r="F21" s="644"/>
      <c r="G21" s="644"/>
      <c r="H21" s="640"/>
      <c r="I21" s="43"/>
      <c r="J21" s="43"/>
      <c r="K21" s="43"/>
      <c r="L21" s="8"/>
      <c r="M21" s="8"/>
    </row>
    <row r="22" spans="2:13" ht="15.75" thickBot="1">
      <c r="B22" s="645"/>
      <c r="C22" s="634" t="s">
        <v>402</v>
      </c>
      <c r="D22" s="647">
        <f>+'TABELA ULAZNIH PODATAKA'!D55</f>
        <v>0</v>
      </c>
      <c r="E22" s="647">
        <v>1</v>
      </c>
      <c r="F22" s="647">
        <f>+IF('TABELA ULAZNIH PODATAKA'!D96&gt;0,1,0)</f>
        <v>0</v>
      </c>
      <c r="G22" s="635"/>
      <c r="H22" s="648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638"/>
      <c r="C24" s="166" t="s">
        <v>414</v>
      </c>
      <c r="D24" s="649">
        <f>+'TABELA ULAZNIH PODATAKA'!D27*'TABELA ULAZNIH PODATAKA'!D61</f>
        <v>0</v>
      </c>
      <c r="E24" s="649">
        <f>+'PRILOG 1-Analiza usluga-03-2020'!G42</f>
        <v>0</v>
      </c>
      <c r="F24" s="649"/>
      <c r="G24" s="228"/>
      <c r="H24" s="229">
        <f>+IF(E24=0,0,D24/E24)</f>
        <v>0</v>
      </c>
      <c r="I24" s="43"/>
      <c r="J24" s="43"/>
      <c r="K24" s="43">
        <f>+H24</f>
        <v>0</v>
      </c>
      <c r="L24" s="8"/>
      <c r="M24" s="8"/>
    </row>
    <row r="25" spans="2:13">
      <c r="B25" s="645"/>
      <c r="C25" s="634" t="s">
        <v>302</v>
      </c>
      <c r="D25" s="642">
        <f>+'TABELA ULAZNIH PODATAKA'!D28</f>
        <v>0</v>
      </c>
      <c r="E25" s="642">
        <f>+'PRILOG 1-Analiza usluga-03-2020'!G42</f>
        <v>0</v>
      </c>
      <c r="F25" s="642"/>
      <c r="G25" s="635"/>
      <c r="H25" s="637">
        <f t="shared" ref="H25:H26" si="3">+IF(E25=0,0,D25/E25)</f>
        <v>0</v>
      </c>
      <c r="I25" s="331"/>
      <c r="J25" s="331"/>
      <c r="K25" s="331">
        <f t="shared" ref="K25:K26" si="4">+H25</f>
        <v>0</v>
      </c>
      <c r="L25" s="8"/>
      <c r="M25" s="8"/>
    </row>
    <row r="26" spans="2:13">
      <c r="B26" s="638"/>
      <c r="C26" s="630" t="s">
        <v>303</v>
      </c>
      <c r="D26" s="650">
        <f>+'TABELA ULAZNIH PODATAKA'!D29</f>
        <v>0</v>
      </c>
      <c r="E26" s="644">
        <f>+'PRILOG 1-Analiza usluga-03-2020'!G42</f>
        <v>0</v>
      </c>
      <c r="F26" s="644"/>
      <c r="G26" s="639"/>
      <c r="H26" s="651">
        <f t="shared" si="3"/>
        <v>0</v>
      </c>
      <c r="I26" s="43"/>
      <c r="J26" s="43"/>
      <c r="K26" s="43">
        <f t="shared" si="4"/>
        <v>0</v>
      </c>
      <c r="L26" s="8"/>
      <c r="M26" s="8"/>
    </row>
    <row r="27" spans="2:13" ht="15.75" thickBot="1">
      <c r="B27" s="638"/>
      <c r="C27" s="630"/>
      <c r="D27" s="652"/>
      <c r="E27" s="653"/>
      <c r="F27" s="653"/>
      <c r="G27" s="653"/>
      <c r="H27" s="654"/>
      <c r="I27" s="43"/>
      <c r="J27" s="43"/>
      <c r="K27" s="43"/>
      <c r="L27" s="8"/>
      <c r="M27" s="8"/>
    </row>
    <row r="28" spans="2:13" ht="15.75" thickBot="1">
      <c r="B28" s="324" t="s">
        <v>6</v>
      </c>
      <c r="C28" s="642">
        <f>+IF('TABELA ULAZNIH PODATAKA'!C99&gt;0,'TABELA ULAZNIH PODATAKA'!C99,'TABELA ULAZNIH PODATAKA'!C79)</f>
        <v>0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655" t="s">
        <v>416</v>
      </c>
      <c r="C31" s="656" t="s">
        <v>33</v>
      </c>
      <c r="D31" s="902">
        <f>+'TABELA ULAZNIH PODATAKA'!D96</f>
        <v>0</v>
      </c>
      <c r="E31" s="903"/>
      <c r="F31" s="657">
        <f>+IF('TABELA ULAZNIH PODATAKA'!D98&gt;0,'TABELA ULAZNIH PODATAKA'!D98,'Podanaliza-auto-11-20'!G30)</f>
        <v>0</v>
      </c>
      <c r="G31" s="902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658"/>
      <c r="C32" s="659" t="s">
        <v>306</v>
      </c>
      <c r="D32" s="260"/>
      <c r="E32" s="261"/>
      <c r="F32" s="261"/>
      <c r="G32" s="261"/>
      <c r="H32" s="660"/>
      <c r="I32" s="254">
        <f>SUM(I12:I31)</f>
        <v>0</v>
      </c>
      <c r="J32" s="254">
        <f>SUM(J12:J31)</f>
        <v>0</v>
      </c>
      <c r="K32" s="254">
        <f>SUM(K12:K31)</f>
        <v>0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661"/>
      <c r="C36" s="662" t="s">
        <v>50</v>
      </c>
      <c r="D36" s="663">
        <f>+'TABELA ULAZNIH PODATAKA'!D31</f>
        <v>0</v>
      </c>
      <c r="E36" s="219"/>
      <c r="F36" s="664">
        <f>+'TABELA ULAZNIH PODATAKA'!D47</f>
        <v>0</v>
      </c>
      <c r="G36" s="219">
        <f>+'TABELA ULAZNIH PODATAKA'!D57</f>
        <v>0</v>
      </c>
      <c r="H36" s="419">
        <f>+IF(G36=0,0,D36/F36/G36)</f>
        <v>0</v>
      </c>
      <c r="I36" s="43"/>
      <c r="J36" s="43"/>
      <c r="K36" s="43">
        <f>+H36</f>
        <v>0</v>
      </c>
      <c r="L36" s="59"/>
      <c r="M36" s="62"/>
      <c r="N36" s="45"/>
      <c r="O36" s="128"/>
      <c r="P36" s="45"/>
      <c r="Q36" s="119"/>
    </row>
    <row r="37" spans="2:17">
      <c r="B37" s="665"/>
      <c r="C37" s="334" t="s">
        <v>37</v>
      </c>
      <c r="D37" s="666">
        <f>+'TABELA ULAZNIH PODATAKA'!D32</f>
        <v>0</v>
      </c>
      <c r="E37" s="666"/>
      <c r="F37" s="642">
        <f>+'TABELA ULAZNIH PODATAKA'!D47</f>
        <v>0</v>
      </c>
      <c r="G37" s="330">
        <f>+'TABELA ULAZNIH PODATAKA'!D57</f>
        <v>0</v>
      </c>
      <c r="H37" s="420">
        <f t="shared" ref="H37:H43" si="5">+IF(G37=0,0,D37/F37/G37)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667"/>
      <c r="C38" s="166" t="s">
        <v>38</v>
      </c>
      <c r="D38" s="668">
        <f>+'TABELA ULAZNIH PODATAKA'!D33-'TABELA ULAZNIH PODATAKA'!D15-'TABELA ULAZNIH PODATAKA'!D16</f>
        <v>0</v>
      </c>
      <c r="E38" s="668"/>
      <c r="F38" s="644">
        <f>+'TABELA ULAZNIH PODATAKA'!D47</f>
        <v>0</v>
      </c>
      <c r="G38" s="221">
        <f>+'TABELA ULAZNIH PODATAKA'!D57</f>
        <v>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665"/>
      <c r="C39" s="334" t="s">
        <v>39</v>
      </c>
      <c r="D39" s="669">
        <f>+'TABELA ULAZNIH PODATAKA'!D34</f>
        <v>0</v>
      </c>
      <c r="E39" s="669"/>
      <c r="F39" s="642">
        <f>+'TABELA ULAZNIH PODATAKA'!D47</f>
        <v>0</v>
      </c>
      <c r="G39" s="330">
        <f>+'TABELA ULAZNIH PODATAKA'!D57</f>
        <v>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661"/>
      <c r="C40" s="166" t="s">
        <v>40</v>
      </c>
      <c r="D40" s="668">
        <f>+'TABELA ULAZNIH PODATAKA'!D35</f>
        <v>0</v>
      </c>
      <c r="E40" s="668"/>
      <c r="F40" s="644">
        <f>+'TABELA ULAZNIH PODATAKA'!D47</f>
        <v>0</v>
      </c>
      <c r="G40" s="221">
        <f>+'TABELA ULAZNIH PODATAKA'!D57</f>
        <v>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670"/>
      <c r="C41" s="334" t="s">
        <v>435</v>
      </c>
      <c r="D41" s="669">
        <f>+'TABELA ULAZNIH PODATAKA'!D36-(IF('TABELA ULAZNIH PODATAKA'!D61=0,0,(D26/'TABELA ULAZNIH PODATAKA'!D61*12)))</f>
        <v>0</v>
      </c>
      <c r="E41" s="669"/>
      <c r="F41" s="642">
        <f>+'TABELA ULAZNIH PODATAKA'!D47</f>
        <v>0</v>
      </c>
      <c r="G41" s="330">
        <f>+'TABELA ULAZNIH PODATAKA'!D57</f>
        <v>0</v>
      </c>
      <c r="H41" s="420">
        <f t="shared" si="5"/>
        <v>0</v>
      </c>
      <c r="I41" s="331"/>
      <c r="J41" s="331"/>
      <c r="K41" s="331">
        <f t="shared" si="6"/>
        <v>0</v>
      </c>
      <c r="L41" s="60"/>
      <c r="M41" s="62"/>
      <c r="N41" s="62"/>
      <c r="O41" s="128"/>
      <c r="P41" s="45"/>
      <c r="Q41" s="118"/>
    </row>
    <row r="42" spans="2:17">
      <c r="B42" s="667"/>
      <c r="C42" s="166" t="s">
        <v>405</v>
      </c>
      <c r="D42" s="668">
        <f>+F12*F36</f>
        <v>0</v>
      </c>
      <c r="E42" s="221">
        <f>+'TABELA ULAZNIH PODATAKA'!D39</f>
        <v>0</v>
      </c>
      <c r="F42" s="644">
        <f>+'TABELA ULAZNIH PODATAKA'!D47</f>
        <v>0</v>
      </c>
      <c r="G42" s="668">
        <f>+'TABELA ULAZNIH PODATAKA'!D57</f>
        <v>0</v>
      </c>
      <c r="H42" s="421">
        <f t="shared" si="5"/>
        <v>0</v>
      </c>
      <c r="I42" s="43">
        <f>+H42</f>
        <v>0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670"/>
      <c r="C43" s="334" t="s">
        <v>404</v>
      </c>
      <c r="D43" s="669">
        <f>+'TABELA ULAZNIH PODATAKA'!D40*F31</f>
        <v>0</v>
      </c>
      <c r="E43" s="330"/>
      <c r="F43" s="642">
        <f>+'TABELA ULAZNIH PODATAKA'!D47</f>
        <v>0</v>
      </c>
      <c r="G43" s="669">
        <f>+'TABELA ULAZNIH PODATAKA'!D57</f>
        <v>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667"/>
      <c r="C44" s="166"/>
      <c r="D44" s="671"/>
      <c r="E44" s="221"/>
      <c r="F44" s="644"/>
      <c r="G44" s="897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>
        <f>SUM(I36:I44)</f>
        <v>0</v>
      </c>
      <c r="J45" s="256">
        <f>SUM(J36:J44)</f>
        <v>0</v>
      </c>
      <c r="K45" s="256">
        <f>SUM(K36:K44)</f>
        <v>0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>
        <f>+I32+J32+K32</f>
        <v>0</v>
      </c>
      <c r="K46" s="672">
        <f>+IF(J$49=0,0,J46/J$49)</f>
        <v>0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>
        <f>+I45+J45+K45</f>
        <v>0</v>
      </c>
      <c r="K47" s="672">
        <f>+IF(J$49=0,0,J47/J$49)</f>
        <v>0</v>
      </c>
    </row>
    <row r="48" spans="2:17" ht="15.75" thickBot="1">
      <c r="B48" s="255" t="s">
        <v>448</v>
      </c>
      <c r="C48" s="673">
        <f>+'TABELA ULAZNIH PODATAKA'!D42/100</f>
        <v>0</v>
      </c>
      <c r="D48" s="260"/>
      <c r="E48" s="261"/>
      <c r="F48" s="262"/>
      <c r="G48" s="261"/>
      <c r="H48" s="263"/>
      <c r="I48" s="257"/>
      <c r="J48" s="402">
        <f>+(J47+J46)*C48</f>
        <v>0</v>
      </c>
      <c r="K48" s="672">
        <f>+IF(J$49=0,0,J48/J$49)</f>
        <v>0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>
        <f>+J46+J47+J48</f>
        <v>0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sheetProtection algorithmName="SHA-512" hashValue="mTXLap06AldVn3T0Q9JfezUSUobxJvYHtXRcF9H8nH7FvdfGTbDTzWDLAXa5u8vEEk44y5jBHqGms7qZwU2tSQ==" saltValue="IFSe3rjEkcfEKREV9UvaIg==" spinCount="100000" sheet="1" formatCells="0" formatColumns="0" formatRows="0" insertColumns="0" insertRows="0" insertHyperlinks="0" deleteColumns="0" deleteRows="0" sort="0" autoFilter="0" pivotTables="0"/>
  <mergeCells count="31">
    <mergeCell ref="C7:J7"/>
    <mergeCell ref="J1:K1"/>
    <mergeCell ref="J2:K2"/>
    <mergeCell ref="B3:K3"/>
    <mergeCell ref="C5:I5"/>
    <mergeCell ref="C6:J6"/>
    <mergeCell ref="D31:E31"/>
    <mergeCell ref="G31:H31"/>
    <mergeCell ref="I8:K8"/>
    <mergeCell ref="B9:C10"/>
    <mergeCell ref="D9:D10"/>
    <mergeCell ref="E9:E10"/>
    <mergeCell ref="F9:F10"/>
    <mergeCell ref="G9:G10"/>
    <mergeCell ref="H9:H10"/>
    <mergeCell ref="I9:K9"/>
    <mergeCell ref="C11:K11"/>
    <mergeCell ref="B29:C30"/>
    <mergeCell ref="D29:E30"/>
    <mergeCell ref="F29:F30"/>
    <mergeCell ref="G29:H30"/>
    <mergeCell ref="G44:H44"/>
    <mergeCell ref="B45:H45"/>
    <mergeCell ref="B46:H46"/>
    <mergeCell ref="B49:H49"/>
    <mergeCell ref="C33:K33"/>
    <mergeCell ref="B34:C35"/>
    <mergeCell ref="D34:D35"/>
    <mergeCell ref="E34:F35"/>
    <mergeCell ref="G34:G35"/>
    <mergeCell ref="H34:H35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89509-4772-4CC4-8945-521918DED241}">
  <sheetPr>
    <tabColor rgb="FF0070C0"/>
    <pageSetUpPr fitToPage="1"/>
  </sheetPr>
  <dimension ref="A1:Q51"/>
  <sheetViews>
    <sheetView topLeftCell="B11" zoomScale="112" zoomScaleNormal="112" zoomScaleSheetLayoutView="150" workbookViewId="0">
      <selection activeCell="B59" sqref="B59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623</v>
      </c>
      <c r="C5" s="870">
        <f>+'TABELA ULAZNIH PODATAKA'!C99</f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629"/>
      <c r="C12" s="630" t="s">
        <v>410</v>
      </c>
      <c r="D12" s="631">
        <f>+'TABELA ULAZNIH PODATAKA'!D20</f>
        <v>0</v>
      </c>
      <c r="E12" s="631">
        <f>+'TABELA ULAZNIH PODATAKA'!D43</f>
        <v>0</v>
      </c>
      <c r="F12" s="631">
        <f>+IF(E12=0,0,D12/E12*8)</f>
        <v>0</v>
      </c>
      <c r="G12" s="631">
        <f>+'TABELA ULAZNIH PODATAKA'!D102</f>
        <v>0</v>
      </c>
      <c r="H12" s="632">
        <f>+F12*G12</f>
        <v>0</v>
      </c>
      <c r="I12" s="40">
        <f>+H12</f>
        <v>0</v>
      </c>
      <c r="J12" s="40"/>
      <c r="K12" s="40"/>
      <c r="L12" s="8"/>
      <c r="M12" s="8"/>
    </row>
    <row r="13" spans="2:13" ht="18" customHeight="1" thickBot="1">
      <c r="B13" s="633"/>
      <c r="C13" s="634" t="s">
        <v>395</v>
      </c>
      <c r="D13" s="635"/>
      <c r="E13" s="636">
        <f>+('TABELA ULAZNIH PODATAKA'!D44+'TABELA ULAZNIH PODATAKA'!D45)/(365-104-('TABELA ULAZNIH PODATAKA'!D44+'TABELA ULAZNIH PODATAKA'!D45))</f>
        <v>0</v>
      </c>
      <c r="F13" s="635">
        <f>+F12*E13</f>
        <v>0</v>
      </c>
      <c r="G13" s="635">
        <f>+G12</f>
        <v>0</v>
      </c>
      <c r="H13" s="637">
        <f>+F13*G13*E13</f>
        <v>0</v>
      </c>
      <c r="I13" s="337">
        <f>+H13</f>
        <v>0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638"/>
      <c r="C15" s="630" t="s">
        <v>396</v>
      </c>
      <c r="D15" s="639"/>
      <c r="E15" s="639">
        <f>+'TABELA ULAZNIH PODATAKA'!D103/40</f>
        <v>0</v>
      </c>
      <c r="F15" s="639">
        <f>+H12</f>
        <v>0</v>
      </c>
      <c r="G15" s="639">
        <v>1</v>
      </c>
      <c r="H15" s="640">
        <f>+E15*F15*G15</f>
        <v>0</v>
      </c>
      <c r="I15" s="40">
        <f>+H15</f>
        <v>0</v>
      </c>
      <c r="J15" s="40"/>
      <c r="K15" s="40"/>
      <c r="L15" s="8"/>
      <c r="M15" s="39"/>
    </row>
    <row r="16" spans="2:13">
      <c r="B16" s="641"/>
      <c r="C16" s="634" t="s">
        <v>368</v>
      </c>
      <c r="D16" s="642"/>
      <c r="E16" s="642"/>
      <c r="F16" s="642"/>
      <c r="G16" s="635"/>
      <c r="H16" s="637"/>
      <c r="I16" s="331"/>
      <c r="J16" s="331"/>
      <c r="K16" s="331"/>
      <c r="L16" s="8"/>
      <c r="M16" s="8"/>
    </row>
    <row r="17" spans="2:13">
      <c r="B17" s="638"/>
      <c r="C17" s="643" t="s">
        <v>397</v>
      </c>
      <c r="D17" s="644">
        <f>+'TABELA ULAZNIH PODATAKA'!D51</f>
        <v>0</v>
      </c>
      <c r="E17" s="644">
        <f>+'TABELA ULAZNIH PODATAKA'!D47</f>
        <v>0</v>
      </c>
      <c r="F17" s="644">
        <f>+IF(E17=0,0,D17/E17)</f>
        <v>0</v>
      </c>
      <c r="G17" s="639">
        <v>1</v>
      </c>
      <c r="H17" s="640">
        <f>+F17</f>
        <v>0</v>
      </c>
      <c r="I17" s="43">
        <f>+H17</f>
        <v>0</v>
      </c>
      <c r="J17" s="43"/>
      <c r="K17" s="43"/>
      <c r="L17" s="8"/>
      <c r="M17" s="8"/>
    </row>
    <row r="18" spans="2:13">
      <c r="B18" s="645"/>
      <c r="C18" s="646" t="s">
        <v>400</v>
      </c>
      <c r="D18" s="642">
        <f>+IF('TABELA ULAZNIH PODATAKA'!D105&gt;0,'TABELA ULAZNIH PODATAKA'!D105,'TABELA ULAZNIH PODATAKA'!D52)</f>
        <v>0</v>
      </c>
      <c r="E18" s="642">
        <f>+ROUND(E17/12,0)</f>
        <v>0</v>
      </c>
      <c r="F18" s="642">
        <f t="shared" ref="F18:F20" si="0">+IF(E18=0,0,D18/E18)</f>
        <v>0</v>
      </c>
      <c r="G18" s="635">
        <v>1</v>
      </c>
      <c r="H18" s="637">
        <f t="shared" ref="H18:H20" si="1">+F18</f>
        <v>0</v>
      </c>
      <c r="I18" s="331">
        <f t="shared" ref="I18:I20" si="2">+H18</f>
        <v>0</v>
      </c>
      <c r="J18" s="331"/>
      <c r="K18" s="331"/>
      <c r="L18" s="8"/>
      <c r="M18" s="8"/>
    </row>
    <row r="19" spans="2:13">
      <c r="B19" s="638"/>
      <c r="C19" s="643" t="s">
        <v>413</v>
      </c>
      <c r="D19" s="644">
        <f>+'TABELA ULAZNIH PODATAKA'!D53</f>
        <v>0</v>
      </c>
      <c r="E19" s="644">
        <f>+E17</f>
        <v>0</v>
      </c>
      <c r="F19" s="644">
        <f t="shared" si="0"/>
        <v>0</v>
      </c>
      <c r="G19" s="639">
        <v>1</v>
      </c>
      <c r="H19" s="640">
        <f t="shared" si="1"/>
        <v>0</v>
      </c>
      <c r="I19" s="43">
        <f t="shared" si="2"/>
        <v>0</v>
      </c>
      <c r="J19" s="43"/>
      <c r="K19" s="43"/>
      <c r="L19" s="8"/>
      <c r="M19" s="8"/>
    </row>
    <row r="20" spans="2:13">
      <c r="B20" s="645"/>
      <c r="C20" s="646" t="s">
        <v>401</v>
      </c>
      <c r="D20" s="642">
        <f>+'TABELA ULAZNIH PODATAKA'!D54</f>
        <v>0</v>
      </c>
      <c r="E20" s="642">
        <f>+E19</f>
        <v>0</v>
      </c>
      <c r="F20" s="642">
        <f t="shared" si="0"/>
        <v>0</v>
      </c>
      <c r="G20" s="635">
        <v>1</v>
      </c>
      <c r="H20" s="637">
        <f t="shared" si="1"/>
        <v>0</v>
      </c>
      <c r="I20" s="331">
        <f t="shared" si="2"/>
        <v>0</v>
      </c>
      <c r="J20" s="331"/>
      <c r="K20" s="331"/>
      <c r="L20" s="8"/>
      <c r="M20" s="8"/>
    </row>
    <row r="21" spans="2:13">
      <c r="B21" s="638"/>
      <c r="C21" s="630"/>
      <c r="D21" s="644"/>
      <c r="E21" s="644"/>
      <c r="F21" s="644"/>
      <c r="G21" s="644"/>
      <c r="H21" s="640"/>
      <c r="I21" s="43"/>
      <c r="J21" s="43"/>
      <c r="K21" s="43"/>
      <c r="L21" s="8"/>
      <c r="M21" s="8"/>
    </row>
    <row r="22" spans="2:13" ht="15.75" thickBot="1">
      <c r="B22" s="645"/>
      <c r="C22" s="634" t="s">
        <v>402</v>
      </c>
      <c r="D22" s="647">
        <f>+'TABELA ULAZNIH PODATAKA'!D55</f>
        <v>0</v>
      </c>
      <c r="E22" s="647">
        <v>1</v>
      </c>
      <c r="F22" s="647">
        <f>+IF('TABELA ULAZNIH PODATAKA'!D104&gt;0,1,0)</f>
        <v>0</v>
      </c>
      <c r="G22" s="635"/>
      <c r="H22" s="648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638"/>
      <c r="C24" s="166" t="s">
        <v>414</v>
      </c>
      <c r="D24" s="649">
        <f>+'TABELA ULAZNIH PODATAKA'!D27*'TABELA ULAZNIH PODATAKA'!D61</f>
        <v>0</v>
      </c>
      <c r="E24" s="649">
        <f>+'PRILOG 1-Analiza usluga-03-2020'!G42</f>
        <v>0</v>
      </c>
      <c r="F24" s="649"/>
      <c r="G24" s="228"/>
      <c r="H24" s="229">
        <f>+IF(E24=0,0,D24/E24)</f>
        <v>0</v>
      </c>
      <c r="I24" s="43"/>
      <c r="J24" s="43"/>
      <c r="K24" s="43">
        <f>+H24</f>
        <v>0</v>
      </c>
      <c r="L24" s="8"/>
      <c r="M24" s="8"/>
    </row>
    <row r="25" spans="2:13">
      <c r="B25" s="645"/>
      <c r="C25" s="634" t="s">
        <v>302</v>
      </c>
      <c r="D25" s="642">
        <f>+'TABELA ULAZNIH PODATAKA'!D28</f>
        <v>0</v>
      </c>
      <c r="E25" s="642">
        <f>+'PRILOG 1-Analiza usluga-03-2020'!G42</f>
        <v>0</v>
      </c>
      <c r="F25" s="642"/>
      <c r="G25" s="635"/>
      <c r="H25" s="637">
        <f t="shared" ref="H25:H26" si="3">+IF(E25=0,0,D25/E25)</f>
        <v>0</v>
      </c>
      <c r="I25" s="331"/>
      <c r="J25" s="331"/>
      <c r="K25" s="331">
        <f t="shared" ref="K25:K26" si="4">+H25</f>
        <v>0</v>
      </c>
      <c r="L25" s="8"/>
      <c r="M25" s="8"/>
    </row>
    <row r="26" spans="2:13">
      <c r="B26" s="638"/>
      <c r="C26" s="630" t="s">
        <v>303</v>
      </c>
      <c r="D26" s="650">
        <f>+'TABELA ULAZNIH PODATAKA'!D29</f>
        <v>0</v>
      </c>
      <c r="E26" s="644">
        <f>+'PRILOG 1-Analiza usluga-03-2020'!G42</f>
        <v>0</v>
      </c>
      <c r="F26" s="644"/>
      <c r="G26" s="639"/>
      <c r="H26" s="651">
        <f t="shared" si="3"/>
        <v>0</v>
      </c>
      <c r="I26" s="43"/>
      <c r="J26" s="43"/>
      <c r="K26" s="43">
        <f t="shared" si="4"/>
        <v>0</v>
      </c>
      <c r="L26" s="8"/>
      <c r="M26" s="8"/>
    </row>
    <row r="27" spans="2:13" ht="15.75" thickBot="1">
      <c r="B27" s="638"/>
      <c r="C27" s="630"/>
      <c r="D27" s="652"/>
      <c r="E27" s="653"/>
      <c r="F27" s="653"/>
      <c r="G27" s="653"/>
      <c r="H27" s="654"/>
      <c r="I27" s="43"/>
      <c r="J27" s="43"/>
      <c r="K27" s="43"/>
      <c r="L27" s="8"/>
      <c r="M27" s="8"/>
    </row>
    <row r="28" spans="2:13" ht="15.75" thickBot="1">
      <c r="B28" s="324" t="s">
        <v>6</v>
      </c>
      <c r="C28" s="321" t="s">
        <v>351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655" t="s">
        <v>416</v>
      </c>
      <c r="C31" s="656" t="s">
        <v>33</v>
      </c>
      <c r="D31" s="902">
        <f>+'TABELA ULAZNIH PODATAKA'!D104</f>
        <v>0</v>
      </c>
      <c r="E31" s="903"/>
      <c r="F31" s="657">
        <f>+IF('TABELA ULAZNIH PODATAKA'!D106&gt;0,'TABELA ULAZNIH PODATAKA'!D106,'Podanaliza-auto-11-20'!G30)</f>
        <v>0</v>
      </c>
      <c r="G31" s="902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658"/>
      <c r="C32" s="659" t="s">
        <v>306</v>
      </c>
      <c r="D32" s="260"/>
      <c r="E32" s="261"/>
      <c r="F32" s="261"/>
      <c r="G32" s="261"/>
      <c r="H32" s="660"/>
      <c r="I32" s="254">
        <f>SUM(I12:I31)</f>
        <v>0</v>
      </c>
      <c r="J32" s="254">
        <f>SUM(J12:J31)</f>
        <v>0</v>
      </c>
      <c r="K32" s="254">
        <f>SUM(K12:K31)</f>
        <v>0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661"/>
      <c r="C36" s="662" t="s">
        <v>50</v>
      </c>
      <c r="D36" s="663">
        <f>+'TABELA ULAZNIH PODATAKA'!D31</f>
        <v>0</v>
      </c>
      <c r="E36" s="219"/>
      <c r="F36" s="664">
        <f>+'TABELA ULAZNIH PODATAKA'!D47</f>
        <v>0</v>
      </c>
      <c r="G36" s="219">
        <f>+'TABELA ULAZNIH PODATAKA'!D57</f>
        <v>0</v>
      </c>
      <c r="H36" s="419">
        <f>+IF(G36=0,0,D36/F36/G36)</f>
        <v>0</v>
      </c>
      <c r="I36" s="43"/>
      <c r="J36" s="43"/>
      <c r="K36" s="43">
        <f>+H36</f>
        <v>0</v>
      </c>
      <c r="L36" s="59"/>
      <c r="M36" s="62"/>
      <c r="N36" s="45"/>
      <c r="O36" s="128"/>
      <c r="P36" s="45"/>
      <c r="Q36" s="119"/>
    </row>
    <row r="37" spans="2:17">
      <c r="B37" s="665"/>
      <c r="C37" s="334" t="s">
        <v>37</v>
      </c>
      <c r="D37" s="666">
        <f>+'TABELA ULAZNIH PODATAKA'!D32</f>
        <v>0</v>
      </c>
      <c r="E37" s="666"/>
      <c r="F37" s="642">
        <f>+'TABELA ULAZNIH PODATAKA'!D47</f>
        <v>0</v>
      </c>
      <c r="G37" s="330">
        <f>+'TABELA ULAZNIH PODATAKA'!D57</f>
        <v>0</v>
      </c>
      <c r="H37" s="420">
        <f t="shared" ref="H37:H43" si="5">+IF(G37=0,0,D37/F37/G37)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667"/>
      <c r="C38" s="166" t="s">
        <v>38</v>
      </c>
      <c r="D38" s="668">
        <f>+'TABELA ULAZNIH PODATAKA'!D33-'TABELA ULAZNIH PODATAKA'!D15-'TABELA ULAZNIH PODATAKA'!D16</f>
        <v>0</v>
      </c>
      <c r="E38" s="668"/>
      <c r="F38" s="644">
        <f>+'TABELA ULAZNIH PODATAKA'!D47</f>
        <v>0</v>
      </c>
      <c r="G38" s="221">
        <f>+'TABELA ULAZNIH PODATAKA'!D57</f>
        <v>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665"/>
      <c r="C39" s="334" t="s">
        <v>39</v>
      </c>
      <c r="D39" s="669">
        <f>+'TABELA ULAZNIH PODATAKA'!D34</f>
        <v>0</v>
      </c>
      <c r="E39" s="669"/>
      <c r="F39" s="642">
        <f>+'TABELA ULAZNIH PODATAKA'!D47</f>
        <v>0</v>
      </c>
      <c r="G39" s="330">
        <f>+'TABELA ULAZNIH PODATAKA'!D57</f>
        <v>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661"/>
      <c r="C40" s="166" t="s">
        <v>40</v>
      </c>
      <c r="D40" s="668">
        <f>+'TABELA ULAZNIH PODATAKA'!D35</f>
        <v>0</v>
      </c>
      <c r="E40" s="668"/>
      <c r="F40" s="644">
        <f>+'TABELA ULAZNIH PODATAKA'!D47</f>
        <v>0</v>
      </c>
      <c r="G40" s="221">
        <f>+'TABELA ULAZNIH PODATAKA'!D57</f>
        <v>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670"/>
      <c r="C41" s="334" t="s">
        <v>435</v>
      </c>
      <c r="D41" s="669">
        <f>+'TABELA ULAZNIH PODATAKA'!D36-(IF('TABELA ULAZNIH PODATAKA'!D61=0,0,(D26/'TABELA ULAZNIH PODATAKA'!D61*12)))</f>
        <v>0</v>
      </c>
      <c r="E41" s="669"/>
      <c r="F41" s="642">
        <f>+'TABELA ULAZNIH PODATAKA'!D47</f>
        <v>0</v>
      </c>
      <c r="G41" s="330">
        <f>+'TABELA ULAZNIH PODATAKA'!D57</f>
        <v>0</v>
      </c>
      <c r="H41" s="420">
        <f t="shared" si="5"/>
        <v>0</v>
      </c>
      <c r="I41" s="331"/>
      <c r="J41" s="331"/>
      <c r="K41" s="331">
        <f t="shared" si="6"/>
        <v>0</v>
      </c>
      <c r="L41" s="60"/>
      <c r="M41" s="62"/>
      <c r="N41" s="62"/>
      <c r="O41" s="128"/>
      <c r="P41" s="45"/>
      <c r="Q41" s="118"/>
    </row>
    <row r="42" spans="2:17">
      <c r="B42" s="667"/>
      <c r="C42" s="166" t="s">
        <v>405</v>
      </c>
      <c r="D42" s="668">
        <f>+F12*F36</f>
        <v>0</v>
      </c>
      <c r="E42" s="221">
        <f>+'TABELA ULAZNIH PODATAKA'!D39</f>
        <v>0</v>
      </c>
      <c r="F42" s="644">
        <f>+'TABELA ULAZNIH PODATAKA'!D47</f>
        <v>0</v>
      </c>
      <c r="G42" s="668">
        <f>+'TABELA ULAZNIH PODATAKA'!D57</f>
        <v>0</v>
      </c>
      <c r="H42" s="421">
        <f t="shared" si="5"/>
        <v>0</v>
      </c>
      <c r="I42" s="43">
        <f>+H42</f>
        <v>0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670"/>
      <c r="C43" s="334" t="s">
        <v>404</v>
      </c>
      <c r="D43" s="669">
        <f>+'TABELA ULAZNIH PODATAKA'!D40*F31</f>
        <v>0</v>
      </c>
      <c r="E43" s="330"/>
      <c r="F43" s="642">
        <f>+'TABELA ULAZNIH PODATAKA'!D47</f>
        <v>0</v>
      </c>
      <c r="G43" s="669">
        <f>+'TABELA ULAZNIH PODATAKA'!D57</f>
        <v>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667"/>
      <c r="C44" s="166"/>
      <c r="D44" s="671"/>
      <c r="E44" s="221"/>
      <c r="F44" s="644"/>
      <c r="G44" s="897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>
        <f>SUM(I36:I44)</f>
        <v>0</v>
      </c>
      <c r="J45" s="256">
        <f>SUM(J36:J44)</f>
        <v>0</v>
      </c>
      <c r="K45" s="256">
        <f>SUM(K36:K44)</f>
        <v>0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>
        <f>+I32+J32+K32</f>
        <v>0</v>
      </c>
      <c r="K46" s="672">
        <f>+IF(J$49=0,0,J46/J$49)</f>
        <v>0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>
        <f>+I45+J45+K45</f>
        <v>0</v>
      </c>
      <c r="K47" s="672">
        <f>+IF(J$49=0,0,J47/J$49)</f>
        <v>0</v>
      </c>
    </row>
    <row r="48" spans="2:17" ht="15.75" thickBot="1">
      <c r="B48" s="255" t="s">
        <v>448</v>
      </c>
      <c r="C48" s="673">
        <f>+'TABELA ULAZNIH PODATAKA'!D42/100</f>
        <v>0</v>
      </c>
      <c r="D48" s="260"/>
      <c r="E48" s="261"/>
      <c r="F48" s="262"/>
      <c r="G48" s="261"/>
      <c r="H48" s="263"/>
      <c r="I48" s="257"/>
      <c r="J48" s="402">
        <f>+(J47+J46)*C48</f>
        <v>0</v>
      </c>
      <c r="K48" s="672">
        <f>+IF(J$49=0,0,J48/J$49)</f>
        <v>0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>
        <f>+J46+J47+J48</f>
        <v>0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sheetProtection algorithmName="SHA-512" hashValue="oUH6rvlLudbAzeJrm7wAoFTrsDWb8e56vo0lE143dp3J07s0xwwdFIroRURM4yvo0QXL2V5Naji2XJswKhZscg==" saltValue="5BZp9R2BEHNmLO09ZiKAdg==" spinCount="100000" sheet="1" formatCells="0" formatColumns="0" formatRows="0" insertColumns="0" insertRows="0" insertHyperlinks="0" deleteColumns="0" deleteRows="0" sort="0" autoFilter="0" pivotTables="0"/>
  <mergeCells count="31">
    <mergeCell ref="C7:J7"/>
    <mergeCell ref="J1:K1"/>
    <mergeCell ref="J2:K2"/>
    <mergeCell ref="B3:K3"/>
    <mergeCell ref="C5:I5"/>
    <mergeCell ref="C6:J6"/>
    <mergeCell ref="D31:E31"/>
    <mergeCell ref="G31:H31"/>
    <mergeCell ref="I8:K8"/>
    <mergeCell ref="B9:C10"/>
    <mergeCell ref="D9:D10"/>
    <mergeCell ref="E9:E10"/>
    <mergeCell ref="F9:F10"/>
    <mergeCell ref="G9:G10"/>
    <mergeCell ref="H9:H10"/>
    <mergeCell ref="I9:K9"/>
    <mergeCell ref="C11:K11"/>
    <mergeCell ref="B29:C30"/>
    <mergeCell ref="D29:E30"/>
    <mergeCell ref="F29:F30"/>
    <mergeCell ref="G29:H30"/>
    <mergeCell ref="G44:H44"/>
    <mergeCell ref="B45:H45"/>
    <mergeCell ref="B46:H46"/>
    <mergeCell ref="B49:H49"/>
    <mergeCell ref="C33:K33"/>
    <mergeCell ref="B34:C35"/>
    <mergeCell ref="D34:D35"/>
    <mergeCell ref="E34:F35"/>
    <mergeCell ref="G34:G35"/>
    <mergeCell ref="H34:H35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5D841-9BF7-4511-9F02-D9AD414017DC}">
  <sheetPr>
    <tabColor rgb="FF0070C0"/>
    <pageSetUpPr fitToPage="1"/>
  </sheetPr>
  <dimension ref="A1:Q51"/>
  <sheetViews>
    <sheetView topLeftCell="B1" zoomScale="112" zoomScaleNormal="112" zoomScaleSheetLayoutView="150" workbookViewId="0">
      <selection activeCell="C19" sqref="C19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624</v>
      </c>
      <c r="C5" s="870">
        <f>+'TABELA ULAZNIH PODATAKA'!C107</f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629"/>
      <c r="C12" s="630" t="s">
        <v>410</v>
      </c>
      <c r="D12" s="631">
        <f>+'TABELA ULAZNIH PODATAKA'!D20</f>
        <v>0</v>
      </c>
      <c r="E12" s="631">
        <f>+'TABELA ULAZNIH PODATAKA'!D43</f>
        <v>0</v>
      </c>
      <c r="F12" s="631">
        <f>+IF(E12=0,0,D12/E12*8)</f>
        <v>0</v>
      </c>
      <c r="G12" s="631">
        <f>+'TABELA ULAZNIH PODATAKA'!D110</f>
        <v>0</v>
      </c>
      <c r="H12" s="632">
        <f>+F12*G12</f>
        <v>0</v>
      </c>
      <c r="I12" s="40">
        <f>+H12</f>
        <v>0</v>
      </c>
      <c r="J12" s="40"/>
      <c r="K12" s="40"/>
      <c r="L12" s="8"/>
      <c r="M12" s="8"/>
    </row>
    <row r="13" spans="2:13" ht="18" customHeight="1" thickBot="1">
      <c r="B13" s="633"/>
      <c r="C13" s="634" t="s">
        <v>395</v>
      </c>
      <c r="D13" s="635"/>
      <c r="E13" s="636">
        <f>+('TABELA ULAZNIH PODATAKA'!D44+'TABELA ULAZNIH PODATAKA'!D45)/(365-104-('TABELA ULAZNIH PODATAKA'!D44+'TABELA ULAZNIH PODATAKA'!D45))</f>
        <v>0</v>
      </c>
      <c r="F13" s="635">
        <f>+F12*E13</f>
        <v>0</v>
      </c>
      <c r="G13" s="635">
        <f>+G12</f>
        <v>0</v>
      </c>
      <c r="H13" s="637">
        <f>+F13*G13*E13</f>
        <v>0</v>
      </c>
      <c r="I13" s="337">
        <f>+H13</f>
        <v>0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638"/>
      <c r="C15" s="630" t="s">
        <v>396</v>
      </c>
      <c r="D15" s="639"/>
      <c r="E15" s="639">
        <f>+'TABELA ULAZNIH PODATAKA'!D111/40</f>
        <v>0</v>
      </c>
      <c r="F15" s="639">
        <f>+H12</f>
        <v>0</v>
      </c>
      <c r="G15" s="639">
        <v>1</v>
      </c>
      <c r="H15" s="640">
        <f>+E15*F15*G15</f>
        <v>0</v>
      </c>
      <c r="I15" s="40">
        <f>+H15</f>
        <v>0</v>
      </c>
      <c r="J15" s="40"/>
      <c r="K15" s="40"/>
      <c r="L15" s="8"/>
      <c r="M15" s="39"/>
    </row>
    <row r="16" spans="2:13">
      <c r="B16" s="641"/>
      <c r="C16" s="634" t="s">
        <v>368</v>
      </c>
      <c r="D16" s="642"/>
      <c r="E16" s="642"/>
      <c r="F16" s="642"/>
      <c r="G16" s="635"/>
      <c r="H16" s="637"/>
      <c r="I16" s="331"/>
      <c r="J16" s="331"/>
      <c r="K16" s="331"/>
      <c r="L16" s="8"/>
      <c r="M16" s="8"/>
    </row>
    <row r="17" spans="2:13">
      <c r="B17" s="638"/>
      <c r="C17" s="643" t="s">
        <v>397</v>
      </c>
      <c r="D17" s="644">
        <f>+'TABELA ULAZNIH PODATAKA'!D51</f>
        <v>0</v>
      </c>
      <c r="E17" s="644">
        <f>+'TABELA ULAZNIH PODATAKA'!D47</f>
        <v>0</v>
      </c>
      <c r="F17" s="644">
        <f>+IF(E17=0,0,D17/E17)</f>
        <v>0</v>
      </c>
      <c r="G17" s="639">
        <v>1</v>
      </c>
      <c r="H17" s="640">
        <f>+F17</f>
        <v>0</v>
      </c>
      <c r="I17" s="43">
        <f>+H17</f>
        <v>0</v>
      </c>
      <c r="J17" s="43"/>
      <c r="K17" s="43"/>
      <c r="L17" s="8"/>
      <c r="M17" s="8"/>
    </row>
    <row r="18" spans="2:13">
      <c r="B18" s="645"/>
      <c r="C18" s="646" t="s">
        <v>400</v>
      </c>
      <c r="D18" s="642">
        <f>+IF('TABELA ULAZNIH PODATAKA'!D113&gt;0,'TABELA ULAZNIH PODATAKA'!D113,'TABELA ULAZNIH PODATAKA'!D52)</f>
        <v>0</v>
      </c>
      <c r="E18" s="642">
        <f>+ROUND(E17/12,0)</f>
        <v>0</v>
      </c>
      <c r="F18" s="642">
        <f t="shared" ref="F18:F20" si="0">+IF(E18=0,0,D18/E18)</f>
        <v>0</v>
      </c>
      <c r="G18" s="635">
        <v>1</v>
      </c>
      <c r="H18" s="637">
        <f t="shared" ref="H18:H20" si="1">+F18</f>
        <v>0</v>
      </c>
      <c r="I18" s="331">
        <f t="shared" ref="I18:I20" si="2">+H18</f>
        <v>0</v>
      </c>
      <c r="J18" s="331"/>
      <c r="K18" s="331"/>
      <c r="L18" s="8"/>
      <c r="M18" s="8"/>
    </row>
    <row r="19" spans="2:13">
      <c r="B19" s="638"/>
      <c r="C19" s="643" t="s">
        <v>413</v>
      </c>
      <c r="D19" s="644">
        <f>+'TABELA ULAZNIH PODATAKA'!D53</f>
        <v>0</v>
      </c>
      <c r="E19" s="644">
        <f>+E17</f>
        <v>0</v>
      </c>
      <c r="F19" s="644">
        <f t="shared" si="0"/>
        <v>0</v>
      </c>
      <c r="G19" s="639">
        <v>1</v>
      </c>
      <c r="H19" s="640">
        <f t="shared" si="1"/>
        <v>0</v>
      </c>
      <c r="I19" s="43">
        <f t="shared" si="2"/>
        <v>0</v>
      </c>
      <c r="J19" s="43"/>
      <c r="K19" s="43"/>
      <c r="L19" s="8"/>
      <c r="M19" s="8"/>
    </row>
    <row r="20" spans="2:13">
      <c r="B20" s="645"/>
      <c r="C20" s="646" t="s">
        <v>401</v>
      </c>
      <c r="D20" s="642">
        <f>+'TABELA ULAZNIH PODATAKA'!D54</f>
        <v>0</v>
      </c>
      <c r="E20" s="642">
        <f>+E19</f>
        <v>0</v>
      </c>
      <c r="F20" s="642">
        <f t="shared" si="0"/>
        <v>0</v>
      </c>
      <c r="G20" s="635">
        <v>1</v>
      </c>
      <c r="H20" s="637">
        <f t="shared" si="1"/>
        <v>0</v>
      </c>
      <c r="I20" s="331">
        <f t="shared" si="2"/>
        <v>0</v>
      </c>
      <c r="J20" s="331"/>
      <c r="K20" s="331"/>
      <c r="L20" s="8"/>
      <c r="M20" s="8"/>
    </row>
    <row r="21" spans="2:13">
      <c r="B21" s="638"/>
      <c r="C21" s="630"/>
      <c r="D21" s="644"/>
      <c r="E21" s="644"/>
      <c r="F21" s="644"/>
      <c r="G21" s="644"/>
      <c r="H21" s="640"/>
      <c r="I21" s="43"/>
      <c r="J21" s="43"/>
      <c r="K21" s="43"/>
      <c r="L21" s="8"/>
      <c r="M21" s="8"/>
    </row>
    <row r="22" spans="2:13" ht="15.75" thickBot="1">
      <c r="B22" s="645"/>
      <c r="C22" s="634" t="s">
        <v>402</v>
      </c>
      <c r="D22" s="647">
        <f>+'TABELA ULAZNIH PODATAKA'!D55</f>
        <v>0</v>
      </c>
      <c r="E22" s="647">
        <v>1</v>
      </c>
      <c r="F22" s="647">
        <f>+IF('TABELA ULAZNIH PODATAKA'!D112&gt;0,1,0)</f>
        <v>0</v>
      </c>
      <c r="G22" s="635"/>
      <c r="H22" s="648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638"/>
      <c r="C24" s="166" t="s">
        <v>414</v>
      </c>
      <c r="D24" s="649">
        <f>+'TABELA ULAZNIH PODATAKA'!D27*'TABELA ULAZNIH PODATAKA'!D61</f>
        <v>0</v>
      </c>
      <c r="E24" s="649">
        <f>+'PRILOG 1-Analiza usluga-03-2020'!G42</f>
        <v>0</v>
      </c>
      <c r="F24" s="649"/>
      <c r="G24" s="228"/>
      <c r="H24" s="229">
        <f>+IF(E24=0,0,D24/E24)</f>
        <v>0</v>
      </c>
      <c r="I24" s="43"/>
      <c r="J24" s="43"/>
      <c r="K24" s="43">
        <f>+H24</f>
        <v>0</v>
      </c>
      <c r="L24" s="8"/>
      <c r="M24" s="8"/>
    </row>
    <row r="25" spans="2:13">
      <c r="B25" s="645"/>
      <c r="C25" s="634" t="s">
        <v>302</v>
      </c>
      <c r="D25" s="642">
        <f>+'TABELA ULAZNIH PODATAKA'!D28</f>
        <v>0</v>
      </c>
      <c r="E25" s="642">
        <f>+'PRILOG 1-Analiza usluga-03-2020'!G42</f>
        <v>0</v>
      </c>
      <c r="F25" s="642"/>
      <c r="G25" s="635"/>
      <c r="H25" s="637">
        <f t="shared" ref="H25:H26" si="3">+IF(E25=0,0,D25/E25)</f>
        <v>0</v>
      </c>
      <c r="I25" s="331"/>
      <c r="J25" s="331"/>
      <c r="K25" s="331">
        <f t="shared" ref="K25:K26" si="4">+H25</f>
        <v>0</v>
      </c>
      <c r="L25" s="8"/>
      <c r="M25" s="8"/>
    </row>
    <row r="26" spans="2:13">
      <c r="B26" s="638"/>
      <c r="C26" s="630" t="s">
        <v>303</v>
      </c>
      <c r="D26" s="650">
        <f>+'TABELA ULAZNIH PODATAKA'!D29</f>
        <v>0</v>
      </c>
      <c r="E26" s="644">
        <f>+'PRILOG 1-Analiza usluga-03-2020'!G42</f>
        <v>0</v>
      </c>
      <c r="F26" s="644"/>
      <c r="G26" s="639"/>
      <c r="H26" s="651">
        <f t="shared" si="3"/>
        <v>0</v>
      </c>
      <c r="I26" s="43"/>
      <c r="J26" s="43"/>
      <c r="K26" s="43">
        <f t="shared" si="4"/>
        <v>0</v>
      </c>
      <c r="L26" s="8"/>
      <c r="M26" s="8"/>
    </row>
    <row r="27" spans="2:13" ht="15.75" thickBot="1">
      <c r="B27" s="638"/>
      <c r="C27" s="630"/>
      <c r="D27" s="652"/>
      <c r="E27" s="653"/>
      <c r="F27" s="653"/>
      <c r="G27" s="653"/>
      <c r="H27" s="654"/>
      <c r="I27" s="43"/>
      <c r="J27" s="43"/>
      <c r="K27" s="43"/>
      <c r="L27" s="8"/>
      <c r="M27" s="8"/>
    </row>
    <row r="28" spans="2:13" ht="15.75" thickBot="1">
      <c r="B28" s="324" t="s">
        <v>6</v>
      </c>
      <c r="C28" s="321" t="s">
        <v>351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655" t="s">
        <v>416</v>
      </c>
      <c r="C31" s="656" t="s">
        <v>33</v>
      </c>
      <c r="D31" s="902">
        <f>+'TABELA ULAZNIH PODATAKA'!D112</f>
        <v>0</v>
      </c>
      <c r="E31" s="903"/>
      <c r="F31" s="657">
        <f>+IF('TABELA ULAZNIH PODATAKA'!D114&gt;0,'TABELA ULAZNIH PODATAKA'!D114,'Podanaliza-auto-11-20'!G30)</f>
        <v>0</v>
      </c>
      <c r="G31" s="902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658"/>
      <c r="C32" s="659" t="s">
        <v>306</v>
      </c>
      <c r="D32" s="260"/>
      <c r="E32" s="261"/>
      <c r="F32" s="261"/>
      <c r="G32" s="261"/>
      <c r="H32" s="660"/>
      <c r="I32" s="254">
        <f>SUM(I12:I31)</f>
        <v>0</v>
      </c>
      <c r="J32" s="254">
        <f>SUM(J12:J31)</f>
        <v>0</v>
      </c>
      <c r="K32" s="254">
        <f>SUM(K12:K31)</f>
        <v>0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661"/>
      <c r="C36" s="662" t="s">
        <v>50</v>
      </c>
      <c r="D36" s="663">
        <f>+'TABELA ULAZNIH PODATAKA'!D31</f>
        <v>0</v>
      </c>
      <c r="E36" s="219"/>
      <c r="F36" s="664">
        <f>+'TABELA ULAZNIH PODATAKA'!D47</f>
        <v>0</v>
      </c>
      <c r="G36" s="219">
        <f>+'TABELA ULAZNIH PODATAKA'!D57</f>
        <v>0</v>
      </c>
      <c r="H36" s="419">
        <f>+IF(G36=0,0,D36/F36/G36)</f>
        <v>0</v>
      </c>
      <c r="I36" s="43"/>
      <c r="J36" s="43"/>
      <c r="K36" s="43">
        <f>+H36</f>
        <v>0</v>
      </c>
      <c r="L36" s="59"/>
      <c r="M36" s="62"/>
      <c r="N36" s="45"/>
      <c r="O36" s="128"/>
      <c r="P36" s="45"/>
      <c r="Q36" s="119"/>
    </row>
    <row r="37" spans="2:17">
      <c r="B37" s="665"/>
      <c r="C37" s="334" t="s">
        <v>37</v>
      </c>
      <c r="D37" s="666">
        <f>+'TABELA ULAZNIH PODATAKA'!D32</f>
        <v>0</v>
      </c>
      <c r="E37" s="666"/>
      <c r="F37" s="642">
        <f>+'TABELA ULAZNIH PODATAKA'!D47</f>
        <v>0</v>
      </c>
      <c r="G37" s="330">
        <f>+'TABELA ULAZNIH PODATAKA'!D57</f>
        <v>0</v>
      </c>
      <c r="H37" s="420">
        <f t="shared" ref="H37:H43" si="5">+IF(G37=0,0,D37/F37/G37)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667"/>
      <c r="C38" s="166" t="s">
        <v>38</v>
      </c>
      <c r="D38" s="668">
        <f>+'TABELA ULAZNIH PODATAKA'!D33-'TABELA ULAZNIH PODATAKA'!D15-'TABELA ULAZNIH PODATAKA'!D16</f>
        <v>0</v>
      </c>
      <c r="E38" s="668"/>
      <c r="F38" s="644">
        <f>+'TABELA ULAZNIH PODATAKA'!D47</f>
        <v>0</v>
      </c>
      <c r="G38" s="221">
        <f>+'TABELA ULAZNIH PODATAKA'!D57</f>
        <v>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665"/>
      <c r="C39" s="334" t="s">
        <v>39</v>
      </c>
      <c r="D39" s="669">
        <f>+'TABELA ULAZNIH PODATAKA'!D34</f>
        <v>0</v>
      </c>
      <c r="E39" s="669"/>
      <c r="F39" s="642">
        <f>+'TABELA ULAZNIH PODATAKA'!D47</f>
        <v>0</v>
      </c>
      <c r="G39" s="330">
        <f>+'TABELA ULAZNIH PODATAKA'!D57</f>
        <v>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661"/>
      <c r="C40" s="166" t="s">
        <v>40</v>
      </c>
      <c r="D40" s="668">
        <f>+'TABELA ULAZNIH PODATAKA'!D35</f>
        <v>0</v>
      </c>
      <c r="E40" s="668"/>
      <c r="F40" s="644">
        <f>+'TABELA ULAZNIH PODATAKA'!D47</f>
        <v>0</v>
      </c>
      <c r="G40" s="221">
        <f>+'TABELA ULAZNIH PODATAKA'!D57</f>
        <v>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670"/>
      <c r="C41" s="334" t="s">
        <v>435</v>
      </c>
      <c r="D41" s="669">
        <f>+'TABELA ULAZNIH PODATAKA'!D36-(IF('TABELA ULAZNIH PODATAKA'!D61=0,0,(D26/'TABELA ULAZNIH PODATAKA'!D61*12)))</f>
        <v>0</v>
      </c>
      <c r="E41" s="669"/>
      <c r="F41" s="642">
        <f>+'TABELA ULAZNIH PODATAKA'!D47</f>
        <v>0</v>
      </c>
      <c r="G41" s="330">
        <f>+'TABELA ULAZNIH PODATAKA'!D57</f>
        <v>0</v>
      </c>
      <c r="H41" s="420">
        <f t="shared" si="5"/>
        <v>0</v>
      </c>
      <c r="I41" s="331"/>
      <c r="J41" s="331"/>
      <c r="K41" s="331">
        <f t="shared" si="6"/>
        <v>0</v>
      </c>
      <c r="L41" s="60"/>
      <c r="M41" s="62"/>
      <c r="N41" s="62"/>
      <c r="O41" s="128"/>
      <c r="P41" s="45"/>
      <c r="Q41" s="118"/>
    </row>
    <row r="42" spans="2:17">
      <c r="B42" s="667"/>
      <c r="C42" s="166" t="s">
        <v>405</v>
      </c>
      <c r="D42" s="668">
        <f>+F12*F36</f>
        <v>0</v>
      </c>
      <c r="E42" s="221">
        <f>+'TABELA ULAZNIH PODATAKA'!D39</f>
        <v>0</v>
      </c>
      <c r="F42" s="644">
        <f>+'TABELA ULAZNIH PODATAKA'!D47</f>
        <v>0</v>
      </c>
      <c r="G42" s="668">
        <f>+'TABELA ULAZNIH PODATAKA'!D57</f>
        <v>0</v>
      </c>
      <c r="H42" s="421">
        <f t="shared" si="5"/>
        <v>0</v>
      </c>
      <c r="I42" s="43">
        <f>+H42</f>
        <v>0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670"/>
      <c r="C43" s="334" t="s">
        <v>404</v>
      </c>
      <c r="D43" s="669">
        <f>+'TABELA ULAZNIH PODATAKA'!D40*F31</f>
        <v>0</v>
      </c>
      <c r="E43" s="330"/>
      <c r="F43" s="642">
        <f>+'TABELA ULAZNIH PODATAKA'!D47</f>
        <v>0</v>
      </c>
      <c r="G43" s="669">
        <f>+'TABELA ULAZNIH PODATAKA'!D57</f>
        <v>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667"/>
      <c r="C44" s="166"/>
      <c r="D44" s="671"/>
      <c r="E44" s="221"/>
      <c r="F44" s="644"/>
      <c r="G44" s="897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>
        <f>SUM(I36:I44)</f>
        <v>0</v>
      </c>
      <c r="J45" s="256">
        <f>SUM(J36:J44)</f>
        <v>0</v>
      </c>
      <c r="K45" s="256">
        <f>SUM(K36:K44)</f>
        <v>0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>
        <f>+I32+J32+K32</f>
        <v>0</v>
      </c>
      <c r="K46" s="672">
        <f>+IF(J$49=0,0,J46/J$49)</f>
        <v>0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>
        <f>+I45+J45+K45</f>
        <v>0</v>
      </c>
      <c r="K47" s="672">
        <f>+IF(J$49=0,0,J47/J$49)</f>
        <v>0</v>
      </c>
    </row>
    <row r="48" spans="2:17" ht="15.75" thickBot="1">
      <c r="B48" s="255" t="s">
        <v>448</v>
      </c>
      <c r="C48" s="673">
        <f>+'TABELA ULAZNIH PODATAKA'!D42/100</f>
        <v>0</v>
      </c>
      <c r="D48" s="260"/>
      <c r="E48" s="261"/>
      <c r="F48" s="262"/>
      <c r="G48" s="261"/>
      <c r="H48" s="263"/>
      <c r="I48" s="257"/>
      <c r="J48" s="402">
        <f>+(J47+J46)*C48</f>
        <v>0</v>
      </c>
      <c r="K48" s="672">
        <f>+IF(J$49=0,0,J48/J$49)</f>
        <v>0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>
        <f>+J46+J47+J48</f>
        <v>0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sheetProtection algorithmName="SHA-512" hashValue="/lwhe79HK8glAHl5bzjH8z4r/VCV7vxmi/jgeYdDAdv8d/RSaTPwomZiMIuroiRxNVDcqb8fVABTqgkM06SRaA==" saltValue="jSIND65+wHqkt/2zF49k9Q==" spinCount="100000" sheet="1" formatCells="0" formatColumns="0" formatRows="0" insertColumns="0" insertRows="0" insertHyperlinks="0" deleteColumns="0" deleteRows="0" sort="0" autoFilter="0" pivotTables="0"/>
  <mergeCells count="31">
    <mergeCell ref="C7:J7"/>
    <mergeCell ref="J1:K1"/>
    <mergeCell ref="J2:K2"/>
    <mergeCell ref="B3:K3"/>
    <mergeCell ref="C5:I5"/>
    <mergeCell ref="C6:J6"/>
    <mergeCell ref="D31:E31"/>
    <mergeCell ref="G31:H31"/>
    <mergeCell ref="I8:K8"/>
    <mergeCell ref="B9:C10"/>
    <mergeCell ref="D9:D10"/>
    <mergeCell ref="E9:E10"/>
    <mergeCell ref="F9:F10"/>
    <mergeCell ref="G9:G10"/>
    <mergeCell ref="H9:H10"/>
    <mergeCell ref="I9:K9"/>
    <mergeCell ref="C11:K11"/>
    <mergeCell ref="B29:C30"/>
    <mergeCell ref="D29:E30"/>
    <mergeCell ref="F29:F30"/>
    <mergeCell ref="G29:H30"/>
    <mergeCell ref="G44:H44"/>
    <mergeCell ref="B45:H45"/>
    <mergeCell ref="B46:H46"/>
    <mergeCell ref="B49:H49"/>
    <mergeCell ref="C33:K33"/>
    <mergeCell ref="B34:C35"/>
    <mergeCell ref="D34:D35"/>
    <mergeCell ref="E34:F35"/>
    <mergeCell ref="G34:G35"/>
    <mergeCell ref="H34:H35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BEA9A-2D98-4619-B72D-0D8740474B26}">
  <sheetPr>
    <tabColor rgb="FF0070C0"/>
    <pageSetUpPr fitToPage="1"/>
  </sheetPr>
  <dimension ref="A1:Q51"/>
  <sheetViews>
    <sheetView topLeftCell="B1" zoomScale="112" zoomScaleNormal="112" zoomScaleSheetLayoutView="150" workbookViewId="0">
      <selection activeCell="C20" sqref="C20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625</v>
      </c>
      <c r="C5" s="870">
        <f>+'TABELA ULAZNIH PODATAKA'!C115</f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629"/>
      <c r="C12" s="630" t="s">
        <v>410</v>
      </c>
      <c r="D12" s="631">
        <f>+'TABELA ULAZNIH PODATAKA'!D20</f>
        <v>0</v>
      </c>
      <c r="E12" s="631">
        <f>+'TABELA ULAZNIH PODATAKA'!D43</f>
        <v>0</v>
      </c>
      <c r="F12" s="631">
        <f>+IF(E12=0,0,D12/E12*8)</f>
        <v>0</v>
      </c>
      <c r="G12" s="631">
        <f>+'TABELA ULAZNIH PODATAKA'!D118</f>
        <v>0</v>
      </c>
      <c r="H12" s="632">
        <f>+F12*G12</f>
        <v>0</v>
      </c>
      <c r="I12" s="40">
        <f>+H12</f>
        <v>0</v>
      </c>
      <c r="J12" s="40"/>
      <c r="K12" s="40"/>
      <c r="L12" s="8"/>
      <c r="M12" s="8"/>
    </row>
    <row r="13" spans="2:13" ht="18" customHeight="1" thickBot="1">
      <c r="B13" s="633"/>
      <c r="C13" s="634" t="s">
        <v>395</v>
      </c>
      <c r="D13" s="635"/>
      <c r="E13" s="636">
        <f>+('TABELA ULAZNIH PODATAKA'!D44+'TABELA ULAZNIH PODATAKA'!D45)/(365-104-('TABELA ULAZNIH PODATAKA'!D44+'TABELA ULAZNIH PODATAKA'!D45))</f>
        <v>0</v>
      </c>
      <c r="F13" s="635">
        <f>+F12*E13</f>
        <v>0</v>
      </c>
      <c r="G13" s="635">
        <f>+G12</f>
        <v>0</v>
      </c>
      <c r="H13" s="637">
        <f>+F13*G13*E13</f>
        <v>0</v>
      </c>
      <c r="I13" s="337">
        <f>+H13</f>
        <v>0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638"/>
      <c r="C15" s="630" t="s">
        <v>396</v>
      </c>
      <c r="D15" s="639"/>
      <c r="E15" s="639">
        <f>+'TABELA ULAZNIH PODATAKA'!D119/40</f>
        <v>0</v>
      </c>
      <c r="F15" s="639">
        <f>+H12</f>
        <v>0</v>
      </c>
      <c r="G15" s="639">
        <v>1</v>
      </c>
      <c r="H15" s="640">
        <f>+E15*F15*G15</f>
        <v>0</v>
      </c>
      <c r="I15" s="40">
        <f>+H15</f>
        <v>0</v>
      </c>
      <c r="J15" s="40"/>
      <c r="K15" s="40"/>
      <c r="L15" s="8"/>
      <c r="M15" s="39"/>
    </row>
    <row r="16" spans="2:13">
      <c r="B16" s="641"/>
      <c r="C16" s="634" t="s">
        <v>368</v>
      </c>
      <c r="D16" s="642"/>
      <c r="E16" s="642"/>
      <c r="F16" s="642"/>
      <c r="G16" s="635"/>
      <c r="H16" s="637"/>
      <c r="I16" s="331"/>
      <c r="J16" s="331"/>
      <c r="K16" s="331"/>
      <c r="L16" s="8"/>
      <c r="M16" s="8"/>
    </row>
    <row r="17" spans="2:13">
      <c r="B17" s="638"/>
      <c r="C17" s="643" t="s">
        <v>397</v>
      </c>
      <c r="D17" s="644">
        <f>+'TABELA ULAZNIH PODATAKA'!D51</f>
        <v>0</v>
      </c>
      <c r="E17" s="644">
        <f>+'TABELA ULAZNIH PODATAKA'!D47</f>
        <v>0</v>
      </c>
      <c r="F17" s="644">
        <f>+IF(E17=0,0,D17/E17)</f>
        <v>0</v>
      </c>
      <c r="G17" s="639">
        <v>1</v>
      </c>
      <c r="H17" s="640">
        <f>+F17</f>
        <v>0</v>
      </c>
      <c r="I17" s="43">
        <f>+H17</f>
        <v>0</v>
      </c>
      <c r="J17" s="43"/>
      <c r="K17" s="43"/>
      <c r="L17" s="8"/>
      <c r="M17" s="8"/>
    </row>
    <row r="18" spans="2:13">
      <c r="B18" s="645"/>
      <c r="C18" s="646" t="s">
        <v>400</v>
      </c>
      <c r="D18" s="642">
        <f>+IF('TABELA ULAZNIH PODATAKA'!D121&gt;0,'TABELA ULAZNIH PODATAKA'!D121,'TABELA ULAZNIH PODATAKA'!D52)</f>
        <v>0</v>
      </c>
      <c r="E18" s="642">
        <f>+ROUND(E17/12,0)</f>
        <v>0</v>
      </c>
      <c r="F18" s="642">
        <f t="shared" ref="F18:F20" si="0">+IF(E18=0,0,D18/E18)</f>
        <v>0</v>
      </c>
      <c r="G18" s="635">
        <v>1</v>
      </c>
      <c r="H18" s="637">
        <f t="shared" ref="H18:H20" si="1">+F18</f>
        <v>0</v>
      </c>
      <c r="I18" s="331">
        <f t="shared" ref="I18:I20" si="2">+H18</f>
        <v>0</v>
      </c>
      <c r="J18" s="331"/>
      <c r="K18" s="331"/>
      <c r="L18" s="8"/>
      <c r="M18" s="8"/>
    </row>
    <row r="19" spans="2:13">
      <c r="B19" s="638"/>
      <c r="C19" s="643" t="s">
        <v>413</v>
      </c>
      <c r="D19" s="644">
        <f>+'TABELA ULAZNIH PODATAKA'!D53</f>
        <v>0</v>
      </c>
      <c r="E19" s="644">
        <f>+E17</f>
        <v>0</v>
      </c>
      <c r="F19" s="644">
        <f t="shared" si="0"/>
        <v>0</v>
      </c>
      <c r="G19" s="639">
        <v>1</v>
      </c>
      <c r="H19" s="640">
        <f t="shared" si="1"/>
        <v>0</v>
      </c>
      <c r="I19" s="43">
        <f t="shared" si="2"/>
        <v>0</v>
      </c>
      <c r="J19" s="43"/>
      <c r="K19" s="43"/>
      <c r="L19" s="8"/>
      <c r="M19" s="8"/>
    </row>
    <row r="20" spans="2:13">
      <c r="B20" s="645"/>
      <c r="C20" s="646" t="s">
        <v>401</v>
      </c>
      <c r="D20" s="642">
        <f>+'TABELA ULAZNIH PODATAKA'!D54</f>
        <v>0</v>
      </c>
      <c r="E20" s="642">
        <f>+E19</f>
        <v>0</v>
      </c>
      <c r="F20" s="642">
        <f t="shared" si="0"/>
        <v>0</v>
      </c>
      <c r="G20" s="635">
        <v>1</v>
      </c>
      <c r="H20" s="637">
        <f t="shared" si="1"/>
        <v>0</v>
      </c>
      <c r="I20" s="331">
        <f t="shared" si="2"/>
        <v>0</v>
      </c>
      <c r="J20" s="331"/>
      <c r="K20" s="331"/>
      <c r="L20" s="8"/>
      <c r="M20" s="8"/>
    </row>
    <row r="21" spans="2:13">
      <c r="B21" s="638"/>
      <c r="C21" s="630"/>
      <c r="D21" s="644"/>
      <c r="E21" s="644"/>
      <c r="F21" s="644"/>
      <c r="G21" s="644"/>
      <c r="H21" s="640"/>
      <c r="I21" s="43"/>
      <c r="J21" s="43"/>
      <c r="K21" s="43"/>
      <c r="L21" s="8"/>
      <c r="M21" s="8"/>
    </row>
    <row r="22" spans="2:13" ht="15.75" thickBot="1">
      <c r="B22" s="645"/>
      <c r="C22" s="634" t="s">
        <v>402</v>
      </c>
      <c r="D22" s="647">
        <f>+'TABELA ULAZNIH PODATAKA'!D55</f>
        <v>0</v>
      </c>
      <c r="E22" s="647">
        <v>1</v>
      </c>
      <c r="F22" s="647">
        <f>+IF('TABELA ULAZNIH PODATAKA'!D120&gt;0,1,0)</f>
        <v>0</v>
      </c>
      <c r="G22" s="635"/>
      <c r="H22" s="648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638"/>
      <c r="C24" s="166" t="s">
        <v>414</v>
      </c>
      <c r="D24" s="649">
        <f>+'TABELA ULAZNIH PODATAKA'!D27*'TABELA ULAZNIH PODATAKA'!D61</f>
        <v>0</v>
      </c>
      <c r="E24" s="649">
        <f>+'PRILOG 1-Analiza usluga-03-2020'!G42</f>
        <v>0</v>
      </c>
      <c r="F24" s="649"/>
      <c r="G24" s="228"/>
      <c r="H24" s="229">
        <f>+IF(E24=0,0,D24/E24)</f>
        <v>0</v>
      </c>
      <c r="I24" s="43"/>
      <c r="J24" s="43"/>
      <c r="K24" s="43">
        <f>+H24</f>
        <v>0</v>
      </c>
      <c r="L24" s="8"/>
      <c r="M24" s="8"/>
    </row>
    <row r="25" spans="2:13">
      <c r="B25" s="645"/>
      <c r="C25" s="634" t="s">
        <v>302</v>
      </c>
      <c r="D25" s="642">
        <f>+'TABELA ULAZNIH PODATAKA'!D28</f>
        <v>0</v>
      </c>
      <c r="E25" s="642">
        <f>+'PRILOG 1-Analiza usluga-03-2020'!G42</f>
        <v>0</v>
      </c>
      <c r="F25" s="642"/>
      <c r="G25" s="635"/>
      <c r="H25" s="637">
        <f t="shared" ref="H25:H26" si="3">+IF(E25=0,0,D25/E25)</f>
        <v>0</v>
      </c>
      <c r="I25" s="331"/>
      <c r="J25" s="331"/>
      <c r="K25" s="331">
        <f t="shared" ref="K25:K26" si="4">+H25</f>
        <v>0</v>
      </c>
      <c r="L25" s="8"/>
      <c r="M25" s="8"/>
    </row>
    <row r="26" spans="2:13">
      <c r="B26" s="638"/>
      <c r="C26" s="630" t="s">
        <v>303</v>
      </c>
      <c r="D26" s="650">
        <f>+'TABELA ULAZNIH PODATAKA'!D29</f>
        <v>0</v>
      </c>
      <c r="E26" s="644">
        <f>+'PRILOG 1-Analiza usluga-03-2020'!G42</f>
        <v>0</v>
      </c>
      <c r="F26" s="644"/>
      <c r="G26" s="639"/>
      <c r="H26" s="651">
        <f t="shared" si="3"/>
        <v>0</v>
      </c>
      <c r="I26" s="43"/>
      <c r="J26" s="43"/>
      <c r="K26" s="43">
        <f t="shared" si="4"/>
        <v>0</v>
      </c>
      <c r="L26" s="8"/>
      <c r="M26" s="8"/>
    </row>
    <row r="27" spans="2:13" ht="15.75" thickBot="1">
      <c r="B27" s="638"/>
      <c r="C27" s="630"/>
      <c r="D27" s="652"/>
      <c r="E27" s="653"/>
      <c r="F27" s="653"/>
      <c r="G27" s="653"/>
      <c r="H27" s="654"/>
      <c r="I27" s="43"/>
      <c r="J27" s="43"/>
      <c r="K27" s="43"/>
      <c r="L27" s="8"/>
      <c r="M27" s="8"/>
    </row>
    <row r="28" spans="2:13" ht="15.75" thickBot="1">
      <c r="B28" s="324" t="s">
        <v>6</v>
      </c>
      <c r="C28" s="321" t="s">
        <v>351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655" t="s">
        <v>416</v>
      </c>
      <c r="C31" s="656" t="s">
        <v>33</v>
      </c>
      <c r="D31" s="902">
        <f>+'TABELA ULAZNIH PODATAKA'!D120</f>
        <v>0</v>
      </c>
      <c r="E31" s="903"/>
      <c r="F31" s="657">
        <f>+IF('TABELA ULAZNIH PODATAKA'!D122&gt;0,'TABELA ULAZNIH PODATAKA'!D122,'Podanaliza-auto-11-20'!G30)</f>
        <v>0</v>
      </c>
      <c r="G31" s="902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658"/>
      <c r="C32" s="659" t="s">
        <v>306</v>
      </c>
      <c r="D32" s="260"/>
      <c r="E32" s="261"/>
      <c r="F32" s="261"/>
      <c r="G32" s="261"/>
      <c r="H32" s="660"/>
      <c r="I32" s="254">
        <f>SUM(I12:I31)</f>
        <v>0</v>
      </c>
      <c r="J32" s="254">
        <f>SUM(J12:J31)</f>
        <v>0</v>
      </c>
      <c r="K32" s="254">
        <f>SUM(K12:K31)</f>
        <v>0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661"/>
      <c r="C36" s="662" t="s">
        <v>50</v>
      </c>
      <c r="D36" s="663">
        <f>+'TABELA ULAZNIH PODATAKA'!D31</f>
        <v>0</v>
      </c>
      <c r="E36" s="219"/>
      <c r="F36" s="664">
        <f>+'TABELA ULAZNIH PODATAKA'!D47</f>
        <v>0</v>
      </c>
      <c r="G36" s="219">
        <f>+'TABELA ULAZNIH PODATAKA'!D57</f>
        <v>0</v>
      </c>
      <c r="H36" s="419">
        <f>+IF(G36=0,0,D36/F36/G36)</f>
        <v>0</v>
      </c>
      <c r="I36" s="43"/>
      <c r="J36" s="43"/>
      <c r="K36" s="43">
        <f>+H36</f>
        <v>0</v>
      </c>
      <c r="L36" s="59"/>
      <c r="M36" s="62"/>
      <c r="N36" s="45"/>
      <c r="O36" s="128"/>
      <c r="P36" s="45"/>
      <c r="Q36" s="119"/>
    </row>
    <row r="37" spans="2:17">
      <c r="B37" s="665"/>
      <c r="C37" s="334" t="s">
        <v>37</v>
      </c>
      <c r="D37" s="666">
        <f>+'TABELA ULAZNIH PODATAKA'!D32</f>
        <v>0</v>
      </c>
      <c r="E37" s="666"/>
      <c r="F37" s="642">
        <f>+'TABELA ULAZNIH PODATAKA'!D47</f>
        <v>0</v>
      </c>
      <c r="G37" s="330">
        <f>+'TABELA ULAZNIH PODATAKA'!D57</f>
        <v>0</v>
      </c>
      <c r="H37" s="420">
        <f t="shared" ref="H37:H43" si="5">+IF(G37=0,0,D37/F37/G37)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667"/>
      <c r="C38" s="166" t="s">
        <v>38</v>
      </c>
      <c r="D38" s="668">
        <f>+'TABELA ULAZNIH PODATAKA'!D33-'TABELA ULAZNIH PODATAKA'!D15-'TABELA ULAZNIH PODATAKA'!D16</f>
        <v>0</v>
      </c>
      <c r="E38" s="668"/>
      <c r="F38" s="644">
        <f>+'TABELA ULAZNIH PODATAKA'!D47</f>
        <v>0</v>
      </c>
      <c r="G38" s="221">
        <f>+'TABELA ULAZNIH PODATAKA'!D57</f>
        <v>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665"/>
      <c r="C39" s="334" t="s">
        <v>39</v>
      </c>
      <c r="D39" s="669">
        <f>+'TABELA ULAZNIH PODATAKA'!D34</f>
        <v>0</v>
      </c>
      <c r="E39" s="669"/>
      <c r="F39" s="642">
        <f>+'TABELA ULAZNIH PODATAKA'!D47</f>
        <v>0</v>
      </c>
      <c r="G39" s="330">
        <f>+'TABELA ULAZNIH PODATAKA'!D57</f>
        <v>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661"/>
      <c r="C40" s="166" t="s">
        <v>40</v>
      </c>
      <c r="D40" s="668">
        <f>+'TABELA ULAZNIH PODATAKA'!D35</f>
        <v>0</v>
      </c>
      <c r="E40" s="668"/>
      <c r="F40" s="644">
        <f>+'TABELA ULAZNIH PODATAKA'!D47</f>
        <v>0</v>
      </c>
      <c r="G40" s="221">
        <f>+'TABELA ULAZNIH PODATAKA'!D57</f>
        <v>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670"/>
      <c r="C41" s="334" t="s">
        <v>435</v>
      </c>
      <c r="D41" s="669">
        <f>+'TABELA ULAZNIH PODATAKA'!D36-(IF('TABELA ULAZNIH PODATAKA'!D61=0,0,(D26/'TABELA ULAZNIH PODATAKA'!D61*12)))</f>
        <v>0</v>
      </c>
      <c r="E41" s="669"/>
      <c r="F41" s="642">
        <f>+'TABELA ULAZNIH PODATAKA'!D47</f>
        <v>0</v>
      </c>
      <c r="G41" s="330">
        <f>+'TABELA ULAZNIH PODATAKA'!D57</f>
        <v>0</v>
      </c>
      <c r="H41" s="420">
        <f t="shared" si="5"/>
        <v>0</v>
      </c>
      <c r="I41" s="331"/>
      <c r="J41" s="331"/>
      <c r="K41" s="331">
        <f t="shared" si="6"/>
        <v>0</v>
      </c>
      <c r="L41" s="60"/>
      <c r="M41" s="62"/>
      <c r="N41" s="62"/>
      <c r="O41" s="128"/>
      <c r="P41" s="45"/>
      <c r="Q41" s="118"/>
    </row>
    <row r="42" spans="2:17">
      <c r="B42" s="667"/>
      <c r="C42" s="166" t="s">
        <v>405</v>
      </c>
      <c r="D42" s="668">
        <f>+F12*F36</f>
        <v>0</v>
      </c>
      <c r="E42" s="221">
        <f>+'TABELA ULAZNIH PODATAKA'!D39</f>
        <v>0</v>
      </c>
      <c r="F42" s="644">
        <f>+'TABELA ULAZNIH PODATAKA'!D47</f>
        <v>0</v>
      </c>
      <c r="G42" s="668">
        <f>+'TABELA ULAZNIH PODATAKA'!D57</f>
        <v>0</v>
      </c>
      <c r="H42" s="421">
        <f t="shared" si="5"/>
        <v>0</v>
      </c>
      <c r="I42" s="43">
        <f>+H42</f>
        <v>0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670"/>
      <c r="C43" s="334" t="s">
        <v>404</v>
      </c>
      <c r="D43" s="669">
        <f>+'TABELA ULAZNIH PODATAKA'!D40*F31</f>
        <v>0</v>
      </c>
      <c r="E43" s="330"/>
      <c r="F43" s="642">
        <f>+'TABELA ULAZNIH PODATAKA'!D47</f>
        <v>0</v>
      </c>
      <c r="G43" s="669">
        <f>+'TABELA ULAZNIH PODATAKA'!D57</f>
        <v>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667"/>
      <c r="C44" s="166"/>
      <c r="D44" s="671"/>
      <c r="E44" s="221"/>
      <c r="F44" s="644"/>
      <c r="G44" s="897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>
        <f>SUM(I36:I44)</f>
        <v>0</v>
      </c>
      <c r="J45" s="256">
        <f>SUM(J36:J44)</f>
        <v>0</v>
      </c>
      <c r="K45" s="256">
        <f>SUM(K36:K44)</f>
        <v>0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>
        <f>+I32+J32+K32</f>
        <v>0</v>
      </c>
      <c r="K46" s="672">
        <f>+IF(J$49=0,0,J46/J$49)</f>
        <v>0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>
        <f>+I45+J45+K45</f>
        <v>0</v>
      </c>
      <c r="K47" s="672">
        <f>+IF(J$49=0,0,J47/J$49)</f>
        <v>0</v>
      </c>
    </row>
    <row r="48" spans="2:17" ht="15.75" thickBot="1">
      <c r="B48" s="255" t="s">
        <v>448</v>
      </c>
      <c r="C48" s="673">
        <f>+'TABELA ULAZNIH PODATAKA'!D42/100</f>
        <v>0</v>
      </c>
      <c r="D48" s="260"/>
      <c r="E48" s="261"/>
      <c r="F48" s="262"/>
      <c r="G48" s="261"/>
      <c r="H48" s="263"/>
      <c r="I48" s="257"/>
      <c r="J48" s="402">
        <f>+(J47+J46)*C48</f>
        <v>0</v>
      </c>
      <c r="K48" s="672">
        <f>+IF(J$49=0,0,J48/J$49)</f>
        <v>0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>
        <f>+J46+J47+J48</f>
        <v>0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sheetProtection algorithmName="SHA-512" hashValue="6QVxlLWFF8QuNyxQtd11AWrcvVfTiweJ1TiOlxZL7tpRNlzkQYjDuMkIbdZar0bl2Vl947f82AbiU73UJJu0nA==" saltValue="GIUphzB1KKZSMwJceZTi6Q==" spinCount="100000" sheet="1" scenarios="1" formatCells="0" formatColumns="0" formatRows="0" insertColumns="0" insertRows="0" insertHyperlinks="0" deleteColumns="0" deleteRows="0" sort="0" autoFilter="0" pivotTables="0"/>
  <mergeCells count="31">
    <mergeCell ref="C7:J7"/>
    <mergeCell ref="J1:K1"/>
    <mergeCell ref="J2:K2"/>
    <mergeCell ref="B3:K3"/>
    <mergeCell ref="C5:I5"/>
    <mergeCell ref="C6:J6"/>
    <mergeCell ref="D31:E31"/>
    <mergeCell ref="G31:H31"/>
    <mergeCell ref="I8:K8"/>
    <mergeCell ref="B9:C10"/>
    <mergeCell ref="D9:D10"/>
    <mergeCell ref="E9:E10"/>
    <mergeCell ref="F9:F10"/>
    <mergeCell ref="G9:G10"/>
    <mergeCell ref="H9:H10"/>
    <mergeCell ref="I9:K9"/>
    <mergeCell ref="C11:K11"/>
    <mergeCell ref="B29:C30"/>
    <mergeCell ref="D29:E30"/>
    <mergeCell ref="F29:F30"/>
    <mergeCell ref="G29:H30"/>
    <mergeCell ref="G44:H44"/>
    <mergeCell ref="B45:H45"/>
    <mergeCell ref="B46:H46"/>
    <mergeCell ref="B49:H49"/>
    <mergeCell ref="C33:K33"/>
    <mergeCell ref="B34:C35"/>
    <mergeCell ref="D34:D35"/>
    <mergeCell ref="E34:F35"/>
    <mergeCell ref="G34:G35"/>
    <mergeCell ref="H34:H35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31258-E97E-46B9-BD8A-3E209FFB9472}">
  <sheetPr>
    <tabColor rgb="FF0070C0"/>
    <pageSetUpPr fitToPage="1"/>
  </sheetPr>
  <dimension ref="A1:Q51"/>
  <sheetViews>
    <sheetView topLeftCell="B17" zoomScale="112" zoomScaleNormal="112" zoomScaleSheetLayoutView="150" workbookViewId="0">
      <selection activeCell="M29" sqref="M29"/>
    </sheetView>
  </sheetViews>
  <sheetFormatPr defaultColWidth="8.85546875" defaultRowHeight="15"/>
  <cols>
    <col min="1" max="1" width="3.28515625" hidden="1" customWidth="1"/>
    <col min="2" max="2" width="19.85546875" customWidth="1"/>
    <col min="3" max="3" width="46.28515625" style="16" customWidth="1"/>
    <col min="4" max="4" width="11" customWidth="1"/>
    <col min="5" max="5" width="9" customWidth="1"/>
    <col min="6" max="7" width="9.140625" customWidth="1"/>
    <col min="8" max="8" width="11.85546875" customWidth="1"/>
    <col min="9" max="11" width="9.7109375" style="45" customWidth="1"/>
    <col min="12" max="12" width="11.42578125" customWidth="1"/>
    <col min="13" max="13" width="9.42578125" bestFit="1" customWidth="1"/>
  </cols>
  <sheetData>
    <row r="1" spans="2:13" ht="38.1" customHeight="1">
      <c r="B1" s="364"/>
      <c r="C1" s="365"/>
      <c r="D1" s="364"/>
      <c r="E1" s="364"/>
      <c r="F1" s="364"/>
      <c r="G1" s="364"/>
      <c r="H1" s="364"/>
      <c r="I1" s="366"/>
      <c r="J1" s="863" t="s">
        <v>439</v>
      </c>
      <c r="K1" s="864"/>
    </row>
    <row r="2" spans="2:13">
      <c r="B2" s="269"/>
      <c r="C2" s="270"/>
      <c r="D2" s="269"/>
      <c r="E2" s="269"/>
      <c r="F2" s="269"/>
      <c r="G2" s="269"/>
      <c r="H2" s="269"/>
      <c r="I2" s="271"/>
      <c r="J2" s="861"/>
      <c r="K2" s="862"/>
    </row>
    <row r="3" spans="2:13" ht="23.25">
      <c r="B3" s="868" t="s">
        <v>384</v>
      </c>
      <c r="C3" s="869"/>
      <c r="D3" s="869"/>
      <c r="E3" s="869"/>
      <c r="F3" s="869"/>
      <c r="G3" s="869"/>
      <c r="H3" s="869"/>
      <c r="I3" s="869"/>
      <c r="J3" s="869"/>
      <c r="K3" s="869"/>
    </row>
    <row r="4" spans="2:13" ht="15.75" thickBot="1">
      <c r="B4" s="272"/>
      <c r="C4" s="273"/>
      <c r="D4" s="274"/>
      <c r="E4" s="275"/>
      <c r="F4" s="275"/>
      <c r="G4" s="275"/>
      <c r="H4" s="276"/>
      <c r="I4" s="276"/>
      <c r="J4" s="276"/>
      <c r="K4" s="276"/>
    </row>
    <row r="5" spans="2:13" ht="15.75" thickBot="1">
      <c r="B5" s="125" t="s">
        <v>626</v>
      </c>
      <c r="C5" s="870" t="s">
        <v>0</v>
      </c>
      <c r="D5" s="871"/>
      <c r="E5" s="871"/>
      <c r="F5" s="871"/>
      <c r="G5" s="871"/>
      <c r="H5" s="871"/>
      <c r="I5" s="871"/>
      <c r="J5" s="41"/>
      <c r="K5" s="151"/>
    </row>
    <row r="6" spans="2:13" ht="25.5" hidden="1" customHeight="1" thickBot="1">
      <c r="B6" s="56" t="s">
        <v>7</v>
      </c>
      <c r="C6" s="872" t="s">
        <v>277</v>
      </c>
      <c r="D6" s="873"/>
      <c r="E6" s="873"/>
      <c r="F6" s="873"/>
      <c r="G6" s="873"/>
      <c r="H6" s="873"/>
      <c r="I6" s="873"/>
      <c r="J6" s="873"/>
      <c r="K6" s="124" t="s">
        <v>15</v>
      </c>
    </row>
    <row r="7" spans="2:13" ht="25.5" hidden="1" customHeight="1" thickBot="1">
      <c r="B7" s="56" t="s">
        <v>279</v>
      </c>
      <c r="C7" s="874" t="s">
        <v>9</v>
      </c>
      <c r="D7" s="873"/>
      <c r="E7" s="873"/>
      <c r="F7" s="873"/>
      <c r="G7" s="873"/>
      <c r="H7" s="873"/>
      <c r="I7" s="873"/>
      <c r="J7" s="873"/>
      <c r="K7" s="57" t="s">
        <v>8</v>
      </c>
    </row>
    <row r="8" spans="2:13" ht="15.95" customHeight="1" thickBot="1">
      <c r="B8" s="152"/>
      <c r="C8" s="4"/>
      <c r="D8" s="5"/>
      <c r="E8" s="6"/>
      <c r="F8" s="6"/>
      <c r="G8" s="6"/>
      <c r="H8" s="153"/>
      <c r="I8" s="865" t="s">
        <v>356</v>
      </c>
      <c r="J8" s="866"/>
      <c r="K8" s="867"/>
    </row>
    <row r="9" spans="2:13" ht="15" customHeight="1" thickBot="1">
      <c r="B9" s="880" t="s">
        <v>2</v>
      </c>
      <c r="C9" s="881"/>
      <c r="D9" s="890" t="s">
        <v>399</v>
      </c>
      <c r="E9" s="892" t="s">
        <v>26</v>
      </c>
      <c r="F9" s="875" t="s">
        <v>398</v>
      </c>
      <c r="G9" s="875" t="s">
        <v>412</v>
      </c>
      <c r="H9" s="875" t="s">
        <v>411</v>
      </c>
      <c r="I9" s="877" t="s">
        <v>3</v>
      </c>
      <c r="J9" s="878"/>
      <c r="K9" s="879"/>
    </row>
    <row r="10" spans="2:13" ht="36" customHeight="1" thickBot="1">
      <c r="B10" s="882"/>
      <c r="C10" s="883"/>
      <c r="D10" s="891"/>
      <c r="E10" s="893"/>
      <c r="F10" s="876"/>
      <c r="G10" s="876"/>
      <c r="H10" s="876"/>
      <c r="I10" s="265" t="s">
        <v>4</v>
      </c>
      <c r="J10" s="266" t="s">
        <v>45</v>
      </c>
      <c r="K10" s="266" t="s">
        <v>30</v>
      </c>
    </row>
    <row r="11" spans="2:13" ht="15.75" thickBot="1">
      <c r="B11" s="324" t="s">
        <v>7</v>
      </c>
      <c r="C11" s="894" t="s">
        <v>29</v>
      </c>
      <c r="D11" s="895"/>
      <c r="E11" s="895"/>
      <c r="F11" s="895"/>
      <c r="G11" s="895"/>
      <c r="H11" s="895"/>
      <c r="I11" s="895"/>
      <c r="J11" s="895"/>
      <c r="K11" s="896"/>
    </row>
    <row r="12" spans="2:13" ht="31.5" customHeight="1">
      <c r="B12" s="416"/>
      <c r="C12" s="154" t="s">
        <v>410</v>
      </c>
      <c r="D12" s="225">
        <f>+'TABELA ULAZNIH PODATAKA'!D20</f>
        <v>0</v>
      </c>
      <c r="E12" s="225">
        <f>+'TABELA ULAZNIH PODATAKA'!D43</f>
        <v>0</v>
      </c>
      <c r="F12" s="225" t="e">
        <f>+D12/E12*8</f>
        <v>#DIV/0!</v>
      </c>
      <c r="G12" s="225">
        <f>+'TABELA ULAZNIH PODATAKA'!D126</f>
        <v>0</v>
      </c>
      <c r="H12" s="226" t="e">
        <f>+F12*G12</f>
        <v>#DIV/0!</v>
      </c>
      <c r="I12" s="40" t="e">
        <f>+H12</f>
        <v>#DIV/0!</v>
      </c>
      <c r="J12" s="40"/>
      <c r="K12" s="40"/>
      <c r="L12" s="8"/>
      <c r="M12" s="8"/>
    </row>
    <row r="13" spans="2:13" ht="18" customHeight="1" thickBot="1">
      <c r="B13" s="335"/>
      <c r="C13" s="264" t="s">
        <v>395</v>
      </c>
      <c r="D13" s="312"/>
      <c r="E13" s="417">
        <f>+('TABELA ULAZNIH PODATAKA'!D44+'TABELA ULAZNIH PODATAKA'!D45)/(365-104-('TABELA ULAZNIH PODATAKA'!D44+'TABELA ULAZNIH PODATAKA'!D45))</f>
        <v>0</v>
      </c>
      <c r="F13" s="312" t="e">
        <f>+F12*E13</f>
        <v>#DIV/0!</v>
      </c>
      <c r="G13" s="312">
        <f>+G12</f>
        <v>0</v>
      </c>
      <c r="H13" s="336" t="e">
        <f>+F13*G13*E13</f>
        <v>#DIV/0!</v>
      </c>
      <c r="I13" s="337" t="e">
        <f>+H13</f>
        <v>#DIV/0!</v>
      </c>
      <c r="J13" s="337"/>
      <c r="K13" s="337"/>
      <c r="L13" s="8"/>
      <c r="M13" s="8"/>
    </row>
    <row r="14" spans="2:13" ht="18" customHeight="1" thickBot="1">
      <c r="B14" s="324"/>
      <c r="C14" s="325"/>
      <c r="D14" s="403" t="s">
        <v>496</v>
      </c>
      <c r="E14" s="404" t="s">
        <v>497</v>
      </c>
      <c r="F14" s="405" t="s">
        <v>508</v>
      </c>
      <c r="G14" s="405"/>
      <c r="H14" s="406"/>
      <c r="I14" s="337"/>
      <c r="J14" s="337"/>
      <c r="K14" s="337"/>
      <c r="L14" s="8"/>
      <c r="M14" s="8"/>
    </row>
    <row r="15" spans="2:13">
      <c r="B15" s="9"/>
      <c r="C15" s="154" t="s">
        <v>396</v>
      </c>
      <c r="D15" s="213"/>
      <c r="E15" s="213">
        <f>+'TABELA ULAZNIH PODATAKA'!D127/40</f>
        <v>0</v>
      </c>
      <c r="F15" s="213" t="e">
        <f>+H12</f>
        <v>#DIV/0!</v>
      </c>
      <c r="G15" s="213">
        <f>+'TABELA ULAZNIH PODATAKA'!D78</f>
        <v>0</v>
      </c>
      <c r="H15" s="214" t="e">
        <f>+E15*F15*G15</f>
        <v>#DIV/0!</v>
      </c>
      <c r="I15" s="40" t="e">
        <f>+H15</f>
        <v>#DIV/0!</v>
      </c>
      <c r="J15" s="40"/>
      <c r="K15" s="40"/>
      <c r="L15" s="8"/>
      <c r="M15" s="39"/>
    </row>
    <row r="16" spans="2:13">
      <c r="B16" s="338"/>
      <c r="C16" s="264" t="s">
        <v>368</v>
      </c>
      <c r="D16" s="329"/>
      <c r="E16" s="329"/>
      <c r="F16" s="329"/>
      <c r="G16" s="312"/>
      <c r="H16" s="336"/>
      <c r="I16" s="331"/>
      <c r="J16" s="331"/>
      <c r="K16" s="331"/>
      <c r="L16" s="8"/>
      <c r="M16" s="8"/>
    </row>
    <row r="17" spans="2:13">
      <c r="B17" s="9"/>
      <c r="C17" s="157" t="s">
        <v>397</v>
      </c>
      <c r="D17" s="215">
        <f>+'TABELA ULAZNIH PODATAKA'!D51</f>
        <v>0</v>
      </c>
      <c r="E17" s="215">
        <f>+'TABELA ULAZNIH PODATAKA'!D47</f>
        <v>0</v>
      </c>
      <c r="F17" s="215" t="e">
        <f>+D17/E17</f>
        <v>#DIV/0!</v>
      </c>
      <c r="G17" s="213">
        <v>1</v>
      </c>
      <c r="H17" s="214" t="e">
        <f>+F17</f>
        <v>#DIV/0!</v>
      </c>
      <c r="I17" s="43" t="e">
        <f>+H17</f>
        <v>#DIV/0!</v>
      </c>
      <c r="J17" s="43"/>
      <c r="K17" s="43"/>
      <c r="L17" s="8"/>
      <c r="M17" s="8"/>
    </row>
    <row r="18" spans="2:13">
      <c r="B18" s="339"/>
      <c r="C18" s="340" t="s">
        <v>400</v>
      </c>
      <c r="D18" s="329">
        <f>+IF('TABELA ULAZNIH PODATAKA'!D129&gt;0,'TABELA ULAZNIH PODATAKA'!D129,'TABELA ULAZNIH PODATAKA'!D52)</f>
        <v>0</v>
      </c>
      <c r="E18" s="329">
        <f>+ROUND(E17/12,0)</f>
        <v>0</v>
      </c>
      <c r="F18" s="329" t="e">
        <f t="shared" ref="F18:F20" si="0">+D18/E18</f>
        <v>#DIV/0!</v>
      </c>
      <c r="G18" s="312">
        <v>1</v>
      </c>
      <c r="H18" s="336" t="e">
        <f t="shared" ref="H18:H20" si="1">+F18</f>
        <v>#DIV/0!</v>
      </c>
      <c r="I18" s="331" t="e">
        <f t="shared" ref="I18:I20" si="2">+H18</f>
        <v>#DIV/0!</v>
      </c>
      <c r="J18" s="331"/>
      <c r="K18" s="331"/>
      <c r="L18" s="8"/>
      <c r="M18" s="8"/>
    </row>
    <row r="19" spans="2:13">
      <c r="B19" s="9"/>
      <c r="C19" s="157" t="s">
        <v>413</v>
      </c>
      <c r="D19" s="215">
        <f>+'TABELA ULAZNIH PODATAKA'!D53</f>
        <v>0</v>
      </c>
      <c r="E19" s="215">
        <f>+E17</f>
        <v>0</v>
      </c>
      <c r="F19" s="215" t="e">
        <f t="shared" si="0"/>
        <v>#DIV/0!</v>
      </c>
      <c r="G19" s="213">
        <v>1</v>
      </c>
      <c r="H19" s="214" t="e">
        <f t="shared" si="1"/>
        <v>#DIV/0!</v>
      </c>
      <c r="I19" s="43" t="e">
        <f t="shared" si="2"/>
        <v>#DIV/0!</v>
      </c>
      <c r="J19" s="43"/>
      <c r="K19" s="43"/>
      <c r="L19" s="8"/>
      <c r="M19" s="8"/>
    </row>
    <row r="20" spans="2:13">
      <c r="B20" s="339"/>
      <c r="C20" s="340" t="s">
        <v>401</v>
      </c>
      <c r="D20" s="329">
        <f>+'TABELA ULAZNIH PODATAKA'!D54</f>
        <v>0</v>
      </c>
      <c r="E20" s="329">
        <f>+E19</f>
        <v>0</v>
      </c>
      <c r="F20" s="329" t="e">
        <f t="shared" si="0"/>
        <v>#DIV/0!</v>
      </c>
      <c r="G20" s="312">
        <v>1</v>
      </c>
      <c r="H20" s="336" t="e">
        <f t="shared" si="1"/>
        <v>#DIV/0!</v>
      </c>
      <c r="I20" s="331" t="e">
        <f t="shared" si="2"/>
        <v>#DIV/0!</v>
      </c>
      <c r="J20" s="331"/>
      <c r="K20" s="331"/>
      <c r="L20" s="8"/>
      <c r="M20" s="8"/>
    </row>
    <row r="21" spans="2:13">
      <c r="B21" s="9"/>
      <c r="C21" s="154"/>
      <c r="D21" s="215"/>
      <c r="E21" s="215"/>
      <c r="F21" s="215"/>
      <c r="G21" s="215"/>
      <c r="H21" s="214"/>
      <c r="I21" s="43"/>
      <c r="J21" s="43"/>
      <c r="K21" s="43"/>
      <c r="L21" s="8"/>
      <c r="M21" s="8"/>
    </row>
    <row r="22" spans="2:13" ht="15.75" thickBot="1">
      <c r="B22" s="339"/>
      <c r="C22" s="264" t="s">
        <v>402</v>
      </c>
      <c r="D22" s="341">
        <f>+'TABELA ULAZNIH PODATAKA'!D55</f>
        <v>0</v>
      </c>
      <c r="E22" s="341">
        <v>1</v>
      </c>
      <c r="F22" s="341">
        <f>+IF(D31&gt;0,1,0)</f>
        <v>0</v>
      </c>
      <c r="G22" s="312"/>
      <c r="H22" s="342">
        <f>+D22*E22*F22</f>
        <v>0</v>
      </c>
      <c r="I22" s="331">
        <f>+H22</f>
        <v>0</v>
      </c>
      <c r="J22" s="331"/>
      <c r="K22" s="331"/>
      <c r="L22" s="8"/>
      <c r="M22" s="8"/>
    </row>
    <row r="23" spans="2:13" ht="39.75" thickBot="1">
      <c r="B23" s="324" t="s">
        <v>5</v>
      </c>
      <c r="C23" s="325" t="s">
        <v>347</v>
      </c>
      <c r="D23" s="403" t="s">
        <v>449</v>
      </c>
      <c r="E23" s="404" t="s">
        <v>450</v>
      </c>
      <c r="F23" s="405"/>
      <c r="G23" s="405"/>
      <c r="H23" s="406" t="s">
        <v>451</v>
      </c>
      <c r="I23" s="346"/>
      <c r="J23" s="322"/>
      <c r="K23" s="323"/>
      <c r="L23" s="8"/>
      <c r="M23" s="8"/>
    </row>
    <row r="24" spans="2:13" ht="26.25">
      <c r="B24" s="9"/>
      <c r="C24" s="159" t="s">
        <v>414</v>
      </c>
      <c r="D24" s="227">
        <f>+'TABELA ULAZNIH PODATAKA'!D27*'TABELA ULAZNIH PODATAKA'!D61</f>
        <v>0</v>
      </c>
      <c r="E24" s="227">
        <f>+'PRILOG 1-Analiza usluga-03-2020'!G42</f>
        <v>0</v>
      </c>
      <c r="F24" s="227"/>
      <c r="G24" s="228"/>
      <c r="H24" s="229" t="e">
        <f>+D24/E24</f>
        <v>#DIV/0!</v>
      </c>
      <c r="I24" s="43"/>
      <c r="J24" s="43"/>
      <c r="K24" s="43" t="e">
        <f>+H24</f>
        <v>#DIV/0!</v>
      </c>
      <c r="L24" s="8"/>
      <c r="M24" s="8"/>
    </row>
    <row r="25" spans="2:13">
      <c r="B25" s="339"/>
      <c r="C25" s="264" t="s">
        <v>302</v>
      </c>
      <c r="D25" s="329">
        <f>+'TABELA ULAZNIH PODATAKA'!D28</f>
        <v>0</v>
      </c>
      <c r="E25" s="329">
        <f>+'PRILOG 1-Analiza usluga-03-2020'!G42</f>
        <v>0</v>
      </c>
      <c r="F25" s="329"/>
      <c r="G25" s="312"/>
      <c r="H25" s="336" t="e">
        <f t="shared" ref="H25:H26" si="3">+D25/E25</f>
        <v>#DIV/0!</v>
      </c>
      <c r="I25" s="331"/>
      <c r="J25" s="331"/>
      <c r="K25" s="331" t="e">
        <f t="shared" ref="K25:K26" si="4">+H25</f>
        <v>#DIV/0!</v>
      </c>
      <c r="L25" s="8"/>
      <c r="M25" s="8"/>
    </row>
    <row r="26" spans="2:13">
      <c r="B26" s="9"/>
      <c r="C26" s="154" t="s">
        <v>303</v>
      </c>
      <c r="D26" s="216">
        <f>+'TABELA ULAZNIH PODATAKA'!D29</f>
        <v>0</v>
      </c>
      <c r="E26" s="215">
        <f>+'PRILOG 1-Analiza usluga-03-2020'!G42</f>
        <v>0</v>
      </c>
      <c r="F26" s="215"/>
      <c r="G26" s="213"/>
      <c r="H26" s="217" t="e">
        <f t="shared" si="3"/>
        <v>#DIV/0!</v>
      </c>
      <c r="I26" s="43"/>
      <c r="J26" s="43"/>
      <c r="K26" s="43" t="e">
        <f t="shared" si="4"/>
        <v>#DIV/0!</v>
      </c>
      <c r="L26" s="8"/>
      <c r="M26" s="8"/>
    </row>
    <row r="27" spans="2:13" ht="15.75" thickBot="1">
      <c r="B27" s="9"/>
      <c r="C27" s="154"/>
      <c r="D27" s="230"/>
      <c r="E27" s="231"/>
      <c r="F27" s="231"/>
      <c r="G27" s="231"/>
      <c r="H27" s="232"/>
      <c r="I27" s="43"/>
      <c r="J27" s="43"/>
      <c r="K27" s="43"/>
      <c r="L27" s="8"/>
      <c r="M27" s="8"/>
    </row>
    <row r="28" spans="2:13" ht="15.75" thickBot="1">
      <c r="B28" s="324" t="s">
        <v>6</v>
      </c>
      <c r="C28" s="321" t="s">
        <v>351</v>
      </c>
      <c r="D28" s="322"/>
      <c r="E28" s="322"/>
      <c r="F28" s="322"/>
      <c r="G28" s="322"/>
      <c r="H28" s="322"/>
      <c r="I28" s="322"/>
      <c r="J28" s="322"/>
      <c r="K28" s="347"/>
    </row>
    <row r="29" spans="2:13">
      <c r="B29" s="880" t="s">
        <v>2</v>
      </c>
      <c r="C29" s="881"/>
      <c r="D29" s="884" t="s">
        <v>34</v>
      </c>
      <c r="E29" s="885"/>
      <c r="F29" s="875" t="s">
        <v>415</v>
      </c>
      <c r="G29" s="888" t="s">
        <v>36</v>
      </c>
      <c r="H29" s="885"/>
      <c r="I29" s="50"/>
      <c r="J29" s="50"/>
      <c r="K29" s="50"/>
    </row>
    <row r="30" spans="2:13" ht="15.75" thickBot="1">
      <c r="B30" s="882"/>
      <c r="C30" s="883"/>
      <c r="D30" s="886"/>
      <c r="E30" s="887"/>
      <c r="F30" s="876"/>
      <c r="G30" s="889"/>
      <c r="H30" s="887"/>
      <c r="I30" s="47"/>
      <c r="J30" s="48"/>
      <c r="K30" s="49"/>
    </row>
    <row r="31" spans="2:13" ht="15.75" thickBot="1">
      <c r="B31" s="46" t="s">
        <v>416</v>
      </c>
      <c r="C31" s="185" t="s">
        <v>33</v>
      </c>
      <c r="D31" s="919">
        <f>+'TABELA ULAZNIH PODATAKA'!D128</f>
        <v>0</v>
      </c>
      <c r="E31" s="903"/>
      <c r="F31" s="224">
        <f>+IF('TABELA ULAZNIH PODATAKA'!D130&gt;0,'TABELA ULAZNIH PODATAKA'!D130,'Podanaliza-auto-11-20'!G30)</f>
        <v>0</v>
      </c>
      <c r="G31" s="919">
        <f>+F31*D31</f>
        <v>0</v>
      </c>
      <c r="H31" s="904"/>
      <c r="I31" s="40"/>
      <c r="J31" s="40">
        <f>+G31</f>
        <v>0</v>
      </c>
      <c r="K31" s="40"/>
    </row>
    <row r="32" spans="2:13" ht="15.75" thickBot="1">
      <c r="B32" s="250"/>
      <c r="C32" s="249" t="s">
        <v>306</v>
      </c>
      <c r="D32" s="251"/>
      <c r="E32" s="252"/>
      <c r="F32" s="252"/>
      <c r="G32" s="252"/>
      <c r="H32" s="253"/>
      <c r="I32" s="254" t="e">
        <f>SUM(I12:I31)</f>
        <v>#DIV/0!</v>
      </c>
      <c r="J32" s="254">
        <f>SUM(J12:J31)</f>
        <v>0</v>
      </c>
      <c r="K32" s="254" t="e">
        <f>SUM(K12:K31)</f>
        <v>#DIV/0!</v>
      </c>
    </row>
    <row r="33" spans="2:17" ht="15.75" thickBot="1">
      <c r="B33" s="320" t="s">
        <v>348</v>
      </c>
      <c r="C33" s="912" t="s">
        <v>307</v>
      </c>
      <c r="D33" s="895"/>
      <c r="E33" s="895"/>
      <c r="F33" s="895"/>
      <c r="G33" s="895"/>
      <c r="H33" s="895"/>
      <c r="I33" s="895"/>
      <c r="J33" s="895"/>
      <c r="K33" s="896"/>
    </row>
    <row r="34" spans="2:17" ht="14.45" customHeight="1">
      <c r="B34" s="880" t="s">
        <v>2</v>
      </c>
      <c r="C34" s="905"/>
      <c r="D34" s="906" t="s">
        <v>44</v>
      </c>
      <c r="E34" s="908" t="s">
        <v>47</v>
      </c>
      <c r="F34" s="909"/>
      <c r="G34" s="888" t="s">
        <v>350</v>
      </c>
      <c r="H34" s="916" t="s">
        <v>403</v>
      </c>
      <c r="I34" s="43"/>
      <c r="J34" s="43"/>
      <c r="K34" s="43"/>
    </row>
    <row r="35" spans="2:17" ht="15.75" thickBot="1">
      <c r="B35" s="882"/>
      <c r="C35" s="883"/>
      <c r="D35" s="907"/>
      <c r="E35" s="910"/>
      <c r="F35" s="911"/>
      <c r="G35" s="910"/>
      <c r="H35" s="917"/>
      <c r="I35" s="43"/>
      <c r="J35" s="43"/>
      <c r="K35" s="43"/>
    </row>
    <row r="36" spans="2:17">
      <c r="B36" s="23"/>
      <c r="C36" s="22" t="s">
        <v>50</v>
      </c>
      <c r="D36" s="218">
        <f>+'TABELA ULAZNIH PODATAKA'!D31</f>
        <v>0</v>
      </c>
      <c r="E36" s="219"/>
      <c r="F36" s="220">
        <f>+'TABELA ULAZNIH PODATAKA'!D47</f>
        <v>0</v>
      </c>
      <c r="G36" s="219">
        <f>+'TABELA ULAZNIH PODATAKA'!D57</f>
        <v>0</v>
      </c>
      <c r="H36" s="419" t="e">
        <f>+D36/F36/G36</f>
        <v>#DIV/0!</v>
      </c>
      <c r="I36" s="43"/>
      <c r="J36" s="43"/>
      <c r="K36" s="43" t="e">
        <f>+H36</f>
        <v>#DIV/0!</v>
      </c>
      <c r="L36" s="59"/>
      <c r="M36" s="62"/>
      <c r="N36" s="45"/>
      <c r="O36" s="128"/>
      <c r="P36" s="45"/>
      <c r="Q36" s="119"/>
    </row>
    <row r="37" spans="2:17">
      <c r="B37" s="326"/>
      <c r="C37" s="327" t="s">
        <v>37</v>
      </c>
      <c r="D37" s="328">
        <f>+'TABELA ULAZNIH PODATAKA'!D32</f>
        <v>0</v>
      </c>
      <c r="E37" s="328"/>
      <c r="F37" s="329">
        <v>224</v>
      </c>
      <c r="G37" s="330">
        <v>20</v>
      </c>
      <c r="H37" s="420">
        <f t="shared" ref="H37:H43" si="5">+D37/F37/G37</f>
        <v>0</v>
      </c>
      <c r="I37" s="331"/>
      <c r="J37" s="331"/>
      <c r="K37" s="331">
        <f t="shared" ref="K37:K41" si="6">+H37</f>
        <v>0</v>
      </c>
      <c r="L37" s="59"/>
      <c r="M37" s="62"/>
      <c r="N37" s="62"/>
      <c r="O37" s="128"/>
      <c r="P37" s="45"/>
      <c r="Q37" s="118"/>
    </row>
    <row r="38" spans="2:17">
      <c r="B38" s="15"/>
      <c r="C38" s="166" t="s">
        <v>38</v>
      </c>
      <c r="D38" s="222">
        <f>+'TABELA ULAZNIH PODATAKA'!D33-'TABELA ULAZNIH PODATAKA'!D15-'TABELA ULAZNIH PODATAKA'!D16</f>
        <v>0</v>
      </c>
      <c r="E38" s="222"/>
      <c r="F38" s="215">
        <v>224</v>
      </c>
      <c r="G38" s="221">
        <v>20</v>
      </c>
      <c r="H38" s="421">
        <f t="shared" si="5"/>
        <v>0</v>
      </c>
      <c r="I38" s="43"/>
      <c r="J38" s="43"/>
      <c r="K38" s="43">
        <f t="shared" si="6"/>
        <v>0</v>
      </c>
      <c r="L38" s="59"/>
      <c r="M38" s="62"/>
      <c r="N38" s="62"/>
      <c r="O38" s="128"/>
      <c r="P38" s="45"/>
      <c r="Q38" s="118"/>
    </row>
    <row r="39" spans="2:17">
      <c r="B39" s="326"/>
      <c r="C39" s="327" t="s">
        <v>39</v>
      </c>
      <c r="D39" s="332">
        <f>+'TABELA ULAZNIH PODATAKA'!D34</f>
        <v>0</v>
      </c>
      <c r="E39" s="332"/>
      <c r="F39" s="329">
        <v>224</v>
      </c>
      <c r="G39" s="330">
        <v>20</v>
      </c>
      <c r="H39" s="420">
        <f t="shared" si="5"/>
        <v>0</v>
      </c>
      <c r="I39" s="331"/>
      <c r="J39" s="331"/>
      <c r="K39" s="331">
        <f t="shared" si="6"/>
        <v>0</v>
      </c>
      <c r="L39" s="60"/>
      <c r="M39" s="62"/>
      <c r="N39" s="62"/>
      <c r="O39" s="128"/>
      <c r="P39" s="45"/>
      <c r="Q39" s="118"/>
    </row>
    <row r="40" spans="2:17">
      <c r="B40" s="23"/>
      <c r="C40" s="159" t="s">
        <v>40</v>
      </c>
      <c r="D40" s="222">
        <f>+'TABELA ULAZNIH PODATAKA'!D35</f>
        <v>0</v>
      </c>
      <c r="E40" s="222"/>
      <c r="F40" s="215">
        <v>224</v>
      </c>
      <c r="G40" s="221">
        <v>20</v>
      </c>
      <c r="H40" s="421">
        <f t="shared" si="5"/>
        <v>0</v>
      </c>
      <c r="I40" s="43"/>
      <c r="J40" s="43"/>
      <c r="K40" s="43">
        <f t="shared" si="6"/>
        <v>0</v>
      </c>
      <c r="L40" s="60"/>
      <c r="M40" s="62"/>
      <c r="N40" s="62"/>
      <c r="O40" s="128"/>
      <c r="P40" s="45"/>
      <c r="Q40" s="118"/>
    </row>
    <row r="41" spans="2:17">
      <c r="B41" s="333"/>
      <c r="C41" s="334" t="s">
        <v>435</v>
      </c>
      <c r="D41" s="332" t="e">
        <f>+'TABELA ULAZNIH PODATAKA'!D36-(D26/'TABELA ULAZNIH PODATAKA'!D61*12)</f>
        <v>#DIV/0!</v>
      </c>
      <c r="E41" s="332"/>
      <c r="F41" s="329">
        <v>224</v>
      </c>
      <c r="G41" s="330">
        <v>20</v>
      </c>
      <c r="H41" s="420" t="e">
        <f t="shared" si="5"/>
        <v>#DIV/0!</v>
      </c>
      <c r="I41" s="331"/>
      <c r="J41" s="331"/>
      <c r="K41" s="331" t="e">
        <f t="shared" si="6"/>
        <v>#DIV/0!</v>
      </c>
      <c r="L41" s="60"/>
      <c r="M41" s="62"/>
      <c r="N41" s="62"/>
      <c r="O41" s="128"/>
      <c r="P41" s="45"/>
      <c r="Q41" s="118"/>
    </row>
    <row r="42" spans="2:17">
      <c r="B42" s="15"/>
      <c r="C42" s="159" t="s">
        <v>405</v>
      </c>
      <c r="D42" s="222" t="e">
        <f>+F12*F36</f>
        <v>#DIV/0!</v>
      </c>
      <c r="E42" s="221">
        <f>+'TABELA ULAZNIH PODATAKA'!D39</f>
        <v>0</v>
      </c>
      <c r="F42" s="215">
        <v>224</v>
      </c>
      <c r="G42" s="222">
        <v>20</v>
      </c>
      <c r="H42" s="421" t="e">
        <f t="shared" si="5"/>
        <v>#DIV/0!</v>
      </c>
      <c r="I42" s="43" t="e">
        <f>+H42</f>
        <v>#DIV/0!</v>
      </c>
      <c r="J42" s="43"/>
      <c r="K42" s="43"/>
      <c r="L42" s="60"/>
      <c r="M42" s="62"/>
      <c r="N42" s="62"/>
      <c r="O42" s="128"/>
      <c r="P42" s="45"/>
      <c r="Q42" s="118"/>
    </row>
    <row r="43" spans="2:17">
      <c r="B43" s="333"/>
      <c r="C43" s="327" t="s">
        <v>404</v>
      </c>
      <c r="D43" s="332">
        <f>+'TABELA ULAZNIH PODATAKA'!D40*F31</f>
        <v>0</v>
      </c>
      <c r="E43" s="330"/>
      <c r="F43" s="329">
        <v>224</v>
      </c>
      <c r="G43" s="332">
        <v>20</v>
      </c>
      <c r="H43" s="420">
        <f t="shared" si="5"/>
        <v>0</v>
      </c>
      <c r="I43" s="331"/>
      <c r="J43" s="422">
        <f>+H43</f>
        <v>0</v>
      </c>
      <c r="K43" s="331"/>
      <c r="L43" s="60"/>
      <c r="M43" s="62"/>
      <c r="N43" s="62"/>
      <c r="O43" s="128"/>
      <c r="P43" s="45"/>
      <c r="Q43" s="118"/>
    </row>
    <row r="44" spans="2:17" ht="15.75" thickBot="1">
      <c r="B44" s="15"/>
      <c r="C44" s="159"/>
      <c r="D44" s="223"/>
      <c r="E44" s="221"/>
      <c r="F44" s="215"/>
      <c r="G44" s="918"/>
      <c r="H44" s="898"/>
      <c r="I44" s="43"/>
      <c r="J44" s="43"/>
      <c r="K44" s="43"/>
      <c r="L44" s="60"/>
      <c r="M44" s="62"/>
      <c r="N44" s="62"/>
      <c r="O44" s="128"/>
      <c r="P44" s="45"/>
      <c r="Q44" s="118"/>
    </row>
    <row r="45" spans="2:17" ht="15.75" thickBot="1">
      <c r="B45" s="913"/>
      <c r="C45" s="914"/>
      <c r="D45" s="914"/>
      <c r="E45" s="914"/>
      <c r="F45" s="914"/>
      <c r="G45" s="914"/>
      <c r="H45" s="915"/>
      <c r="I45" s="256" t="e">
        <f>SUM(I36:I44)</f>
        <v>#DIV/0!</v>
      </c>
      <c r="J45" s="256">
        <f>SUM(J36:J44)</f>
        <v>0</v>
      </c>
      <c r="K45" s="256" t="e">
        <f>SUM(K36:K44)</f>
        <v>#DIV/0!</v>
      </c>
    </row>
    <row r="46" spans="2:17" ht="15.75" thickBot="1">
      <c r="B46" s="913" t="s">
        <v>379</v>
      </c>
      <c r="C46" s="914"/>
      <c r="D46" s="914"/>
      <c r="E46" s="914"/>
      <c r="F46" s="914"/>
      <c r="G46" s="914"/>
      <c r="H46" s="915"/>
      <c r="I46" s="257"/>
      <c r="J46" s="256" t="e">
        <f>+I32+J32+K32</f>
        <v>#DIV/0!</v>
      </c>
      <c r="K46" s="258" t="e">
        <f>+J46/J49</f>
        <v>#DIV/0!</v>
      </c>
    </row>
    <row r="47" spans="2:17" ht="15.75" thickBot="1">
      <c r="B47" s="255" t="s">
        <v>307</v>
      </c>
      <c r="C47" s="259"/>
      <c r="D47" s="260"/>
      <c r="E47" s="261"/>
      <c r="F47" s="262"/>
      <c r="G47" s="261"/>
      <c r="H47" s="263"/>
      <c r="I47" s="257"/>
      <c r="J47" s="256" t="e">
        <f>+I45+J45+K45</f>
        <v>#DIV/0!</v>
      </c>
      <c r="K47" s="258" t="e">
        <f>+J47/J49</f>
        <v>#DIV/0!</v>
      </c>
    </row>
    <row r="48" spans="2:17" ht="15.75" thickBot="1">
      <c r="B48" s="255" t="s">
        <v>448</v>
      </c>
      <c r="C48" s="423">
        <f>+'TABELA ULAZNIH PODATAKA'!D42/100</f>
        <v>0</v>
      </c>
      <c r="D48" s="260"/>
      <c r="E48" s="261"/>
      <c r="F48" s="262"/>
      <c r="G48" s="261"/>
      <c r="H48" s="263"/>
      <c r="I48" s="257"/>
      <c r="J48" s="402" t="e">
        <f>+(J47+J46)*C48</f>
        <v>#DIV/0!</v>
      </c>
      <c r="K48" s="258" t="e">
        <f>+J48/J49</f>
        <v>#DIV/0!</v>
      </c>
    </row>
    <row r="49" spans="2:11" ht="15.75" customHeight="1" thickBot="1">
      <c r="B49" s="899" t="s">
        <v>42</v>
      </c>
      <c r="C49" s="900"/>
      <c r="D49" s="900"/>
      <c r="E49" s="900"/>
      <c r="F49" s="900"/>
      <c r="G49" s="900"/>
      <c r="H49" s="901"/>
      <c r="I49" s="308"/>
      <c r="J49" s="309" t="e">
        <f>+J46+J47+J48</f>
        <v>#DIV/0!</v>
      </c>
      <c r="K49" s="310"/>
    </row>
    <row r="50" spans="2:11" ht="15.75" customHeight="1">
      <c r="B50" s="175" t="s">
        <v>428</v>
      </c>
      <c r="C50" s="176"/>
      <c r="D50" s="176"/>
      <c r="E50" s="177"/>
      <c r="F50" s="177"/>
      <c r="G50" s="177"/>
      <c r="H50" s="177"/>
      <c r="I50" s="58"/>
      <c r="J50" s="58"/>
      <c r="K50" s="178"/>
    </row>
    <row r="51" spans="2:11" ht="15" customHeight="1" thickBot="1">
      <c r="B51" s="170" t="s">
        <v>447</v>
      </c>
      <c r="C51" s="171"/>
      <c r="D51" s="171"/>
      <c r="E51" s="172"/>
      <c r="F51" s="172"/>
      <c r="G51" s="172"/>
      <c r="H51" s="172"/>
      <c r="I51" s="173"/>
      <c r="J51" s="173"/>
      <c r="K51" s="174"/>
    </row>
  </sheetData>
  <mergeCells count="31">
    <mergeCell ref="C7:J7"/>
    <mergeCell ref="J1:K1"/>
    <mergeCell ref="J2:K2"/>
    <mergeCell ref="B3:K3"/>
    <mergeCell ref="C5:I5"/>
    <mergeCell ref="C6:J6"/>
    <mergeCell ref="D31:E31"/>
    <mergeCell ref="G31:H31"/>
    <mergeCell ref="I8:K8"/>
    <mergeCell ref="B9:C10"/>
    <mergeCell ref="D9:D10"/>
    <mergeCell ref="E9:E10"/>
    <mergeCell ref="F9:F10"/>
    <mergeCell ref="G9:G10"/>
    <mergeCell ref="H9:H10"/>
    <mergeCell ref="I9:K9"/>
    <mergeCell ref="C11:K11"/>
    <mergeCell ref="B29:C30"/>
    <mergeCell ref="D29:E30"/>
    <mergeCell ref="F29:F30"/>
    <mergeCell ref="G29:H30"/>
    <mergeCell ref="G44:H44"/>
    <mergeCell ref="B45:H45"/>
    <mergeCell ref="B46:H46"/>
    <mergeCell ref="B49:H49"/>
    <mergeCell ref="C33:K33"/>
    <mergeCell ref="B34:C35"/>
    <mergeCell ref="D34:D35"/>
    <mergeCell ref="E34:F35"/>
    <mergeCell ref="G34:G35"/>
    <mergeCell ref="H34:H35"/>
  </mergeCells>
  <pageMargins left="0.7" right="0.7" top="0.75" bottom="0.75" header="0.3" footer="0.3"/>
  <pageSetup paperSize="9" scale="60" fitToHeight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11</vt:i4>
      </vt:variant>
    </vt:vector>
  </HeadingPairs>
  <TitlesOfParts>
    <vt:vector size="30" baseType="lpstr">
      <vt:lpstr>TABELA ULAZNIH PODATAKA</vt:lpstr>
      <vt:lpstr>Podanaliza-auto-11-20</vt:lpstr>
      <vt:lpstr>ANALIZA-STRUČNJAK 1</vt:lpstr>
      <vt:lpstr>ANALIZA-STRUČNJAK 2</vt:lpstr>
      <vt:lpstr>ANALIZA-STRUČNJAK 3</vt:lpstr>
      <vt:lpstr>ANALIZA-STRUČNJAK 4</vt:lpstr>
      <vt:lpstr>ANALIZA-STRUČNJAK 5</vt:lpstr>
      <vt:lpstr>ANALIZA-STRUČNJAK 6</vt:lpstr>
      <vt:lpstr>ANALIZA-STRUČNJAK 7</vt:lpstr>
      <vt:lpstr>ANALIZA-STRUČNJAK 8</vt:lpstr>
      <vt:lpstr>ANALIZA-STRUČNJAK  7</vt:lpstr>
      <vt:lpstr>ANALIZA-STRUČNJAK  8</vt:lpstr>
      <vt:lpstr>PRILOG 1-Analiza usluga-03-2020</vt:lpstr>
      <vt:lpstr>Pregled promjena cijena</vt:lpstr>
      <vt:lpstr>Statistički niz</vt:lpstr>
      <vt:lpstr>Rizik</vt:lpstr>
      <vt:lpstr>Izračun koefic.-klizna skala</vt:lpstr>
      <vt:lpstr>Izračun-RUC </vt:lpstr>
      <vt:lpstr>Podanaliza-administrator 3-20</vt:lpstr>
      <vt:lpstr>'ANALIZA-STRUČNJAK  7'!Print_Area</vt:lpstr>
      <vt:lpstr>'ANALIZA-STRUČNJAK  8'!Print_Area</vt:lpstr>
      <vt:lpstr>'ANALIZA-STRUČNJAK 1'!Print_Area</vt:lpstr>
      <vt:lpstr>'ANALIZA-STRUČNJAK 2'!Print_Area</vt:lpstr>
      <vt:lpstr>'ANALIZA-STRUČNJAK 3'!Print_Area</vt:lpstr>
      <vt:lpstr>'ANALIZA-STRUČNJAK 4'!Print_Area</vt:lpstr>
      <vt:lpstr>'ANALIZA-STRUČNJAK 5'!Print_Area</vt:lpstr>
      <vt:lpstr>'ANALIZA-STRUČNJAK 6'!Print_Area</vt:lpstr>
      <vt:lpstr>'ANALIZA-STRUČNJAK 7'!Print_Area</vt:lpstr>
      <vt:lpstr>'ANALIZA-STRUČNJAK 8'!Print_Area</vt:lpstr>
      <vt:lpstr>'Podanaliza-administrator 3-20'!Print_Area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Tomislav Papac</dc:creator>
  <cp:lastModifiedBy>Katarina Sikavica</cp:lastModifiedBy>
  <cp:lastPrinted>2024-12-12T15:36:51Z</cp:lastPrinted>
  <dcterms:created xsi:type="dcterms:W3CDTF">2022-06-02T10:00:44Z</dcterms:created>
  <dcterms:modified xsi:type="dcterms:W3CDTF">2025-01-09T12:01:20Z</dcterms:modified>
</cp:coreProperties>
</file>